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8" yWindow="48" windowWidth="14436" windowHeight="12504"/>
    <workbookView xWindow="0" yWindow="48" windowWidth="14388" windowHeight="12504" activeTab="1"/>
  </bookViews>
  <sheets>
    <sheet name="FY11-12V2FinalDraftGenMemSumm" sheetId="25" r:id="rId1"/>
    <sheet name="FY11-12V2FinalDraft" sheetId="24" r:id="rId2"/>
    <sheet name="FY11-12V2Draft1" sheetId="23" r:id="rId3"/>
    <sheet name="FY11-12V1Final" sheetId="1" r:id="rId4"/>
    <sheet name="music" sheetId="20" r:id="rId5"/>
    <sheet name="DRAFT PRESENTATION TO PTA" sheetId="9" r:id="rId6"/>
    <sheet name="Sports Budget" sheetId="5" r:id="rId7"/>
    <sheet name="Programs and Clubs" sheetId="6" r:id="rId8"/>
    <sheet name="Reconciliation with Treasury" sheetId="22" r:id="rId9"/>
    <sheet name="Submit for FOA funding" sheetId="7" r:id="rId10"/>
    <sheet name="Wellness" sheetId="8" r:id="rId11"/>
    <sheet name="elective breakdown FY2010" sheetId="2" r:id="rId12"/>
    <sheet name="Timing" sheetId="10" r:id="rId13"/>
    <sheet name="budget vs. acutal" sheetId="11" r:id="rId14"/>
    <sheet name="Sheet4" sheetId="13" r:id="rId15"/>
    <sheet name="DOE CALENDAR" sheetId="14" r:id="rId16"/>
    <sheet name="Vacation Homes" sheetId="16" r:id="rId17"/>
    <sheet name="Auction 2010" sheetId="17" r:id="rId18"/>
  </sheets>
  <externalReferences>
    <externalReference r:id="rId19"/>
    <externalReference r:id="rId20"/>
  </externalReferences>
  <definedNames>
    <definedName name="_xlnm.Print_Area" localSheetId="3">'FY11-12V1Final'!$A$1:$Q$144</definedName>
    <definedName name="_xlnm.Print_Area" localSheetId="2">'FY11-12V2Draft1'!$A$1:$E$125</definedName>
    <definedName name="_xlnm.Print_Area" localSheetId="1">'FY11-12V2FinalDraft'!$A$1:$F$138</definedName>
    <definedName name="_xlnm.Print_Area" localSheetId="0">'FY11-12V2FinalDraftGenMemSumm'!$A$1:$E$31</definedName>
    <definedName name="_xlnm.Print_Titles" localSheetId="2">'FY11-12V2Draft1'!$1:$7</definedName>
    <definedName name="_xlnm.Print_Titles" localSheetId="1">'FY11-12V2FinalDraft'!$1:$7</definedName>
    <definedName name="_xlnm.Print_Titles" localSheetId="0">'FY11-12V2FinalDraftGenMemSumm'!$1:$3</definedName>
  </definedNames>
  <calcPr calcId="145621"/>
  <fileRecoveryPr repairLoad="1"/>
</workbook>
</file>

<file path=xl/calcChain.xml><?xml version="1.0" encoding="utf-8"?>
<calcChain xmlns="http://schemas.openxmlformats.org/spreadsheetml/2006/main">
  <c r="C19" i="25" l="1"/>
  <c r="C25" i="25"/>
  <c r="C27" i="25" s="1"/>
  <c r="C14" i="25"/>
  <c r="C13" i="25"/>
  <c r="E17" i="24" l="1"/>
  <c r="E16" i="24"/>
  <c r="E15" i="24"/>
  <c r="E14" i="24"/>
  <c r="E13" i="24"/>
  <c r="E12" i="24"/>
  <c r="E11" i="24"/>
  <c r="E18" i="24"/>
  <c r="K34" i="24" l="1"/>
  <c r="J34" i="24"/>
  <c r="D129" i="24" l="1"/>
  <c r="C129" i="24"/>
  <c r="D131" i="24"/>
  <c r="C131" i="24"/>
  <c r="D127" i="24"/>
  <c r="D122" i="24"/>
  <c r="C122" i="24"/>
  <c r="C120" i="24"/>
  <c r="E111" i="24"/>
  <c r="D109" i="24"/>
  <c r="C109" i="24"/>
  <c r="E108" i="24"/>
  <c r="E107" i="24"/>
  <c r="E106" i="24"/>
  <c r="D103" i="24"/>
  <c r="C103" i="24"/>
  <c r="E102" i="24"/>
  <c r="E101" i="24"/>
  <c r="E100" i="24"/>
  <c r="E99" i="24"/>
  <c r="E98" i="24"/>
  <c r="E97" i="24"/>
  <c r="D94" i="24"/>
  <c r="C94" i="24"/>
  <c r="E93" i="24"/>
  <c r="E92" i="24"/>
  <c r="E91" i="24"/>
  <c r="E90" i="24"/>
  <c r="E89" i="24"/>
  <c r="E88" i="24"/>
  <c r="E87" i="24"/>
  <c r="E86" i="24"/>
  <c r="E85" i="24"/>
  <c r="E84" i="24"/>
  <c r="E83" i="24"/>
  <c r="E82" i="24"/>
  <c r="E81" i="24"/>
  <c r="E80" i="24"/>
  <c r="E79" i="24"/>
  <c r="D76" i="24"/>
  <c r="C76" i="24"/>
  <c r="E75" i="24"/>
  <c r="E74" i="24"/>
  <c r="E73" i="24"/>
  <c r="D70" i="24"/>
  <c r="C70" i="24"/>
  <c r="E69" i="24"/>
  <c r="E68" i="24"/>
  <c r="E67" i="24"/>
  <c r="E66" i="24"/>
  <c r="D63" i="24"/>
  <c r="C63" i="24"/>
  <c r="E62" i="24"/>
  <c r="E61" i="24"/>
  <c r="E60" i="24"/>
  <c r="E59" i="24"/>
  <c r="E58" i="24"/>
  <c r="D55" i="24"/>
  <c r="E54" i="24"/>
  <c r="E53" i="24"/>
  <c r="E52" i="24"/>
  <c r="E51" i="24"/>
  <c r="E50" i="24"/>
  <c r="E49" i="24"/>
  <c r="E48" i="24"/>
  <c r="E47" i="24"/>
  <c r="E46" i="24"/>
  <c r="E45" i="24"/>
  <c r="C44" i="24"/>
  <c r="E44" i="24" s="1"/>
  <c r="E43" i="24"/>
  <c r="E42" i="24"/>
  <c r="E41" i="24"/>
  <c r="E40" i="24"/>
  <c r="E39" i="24"/>
  <c r="E38" i="24"/>
  <c r="E37" i="24"/>
  <c r="E36" i="24"/>
  <c r="C35" i="24"/>
  <c r="E35" i="24" s="1"/>
  <c r="E34" i="24"/>
  <c r="E33" i="24"/>
  <c r="C26" i="24"/>
  <c r="E25" i="24"/>
  <c r="E24" i="24"/>
  <c r="E23" i="24"/>
  <c r="C20" i="24"/>
  <c r="E19" i="24"/>
  <c r="E129" i="24" l="1"/>
  <c r="E131" i="24"/>
  <c r="E120" i="24"/>
  <c r="E122" i="24"/>
  <c r="E70" i="24"/>
  <c r="E127" i="24"/>
  <c r="D133" i="24"/>
  <c r="D130" i="24" s="1"/>
  <c r="D26" i="24"/>
  <c r="E26" i="24" s="1"/>
  <c r="C127" i="24"/>
  <c r="D120" i="24"/>
  <c r="D124" i="24" s="1"/>
  <c r="E55" i="24"/>
  <c r="C124" i="24"/>
  <c r="C123" i="24" s="1"/>
  <c r="E76" i="24"/>
  <c r="E103" i="24"/>
  <c r="E63" i="24"/>
  <c r="D113" i="24"/>
  <c r="E94" i="24"/>
  <c r="E109" i="24"/>
  <c r="C28" i="24"/>
  <c r="C9" i="25" s="1"/>
  <c r="E20" i="24"/>
  <c r="D20" i="24"/>
  <c r="C55" i="24"/>
  <c r="C113" i="24" s="1"/>
  <c r="K42" i="23"/>
  <c r="K44" i="23" s="1"/>
  <c r="C10" i="25" l="1"/>
  <c r="C11" i="25" s="1"/>
  <c r="H114" i="24"/>
  <c r="E124" i="24"/>
  <c r="E123" i="24" s="1"/>
  <c r="E133" i="24"/>
  <c r="E128" i="24" s="1"/>
  <c r="D28" i="24"/>
  <c r="C15" i="25" s="1"/>
  <c r="C16" i="25" s="1"/>
  <c r="C29" i="25" s="1"/>
  <c r="E132" i="24"/>
  <c r="E28" i="24"/>
  <c r="D132" i="24"/>
  <c r="D128" i="24"/>
  <c r="C133" i="24"/>
  <c r="C128" i="24" s="1"/>
  <c r="C115" i="24"/>
  <c r="E113" i="24"/>
  <c r="C25" i="23"/>
  <c r="D25" i="23" s="1"/>
  <c r="C20" i="23"/>
  <c r="D20" i="23" s="1"/>
  <c r="L25" i="23"/>
  <c r="L24" i="23"/>
  <c r="C28" i="23"/>
  <c r="D28" i="23" s="1"/>
  <c r="C26" i="23"/>
  <c r="C15" i="23"/>
  <c r="C11" i="23"/>
  <c r="D11" i="23" s="1"/>
  <c r="C13" i="23"/>
  <c r="D13" i="23" s="1"/>
  <c r="D12" i="23"/>
  <c r="D19" i="23"/>
  <c r="D18" i="23"/>
  <c r="D17" i="23"/>
  <c r="D16" i="23"/>
  <c r="D114" i="23"/>
  <c r="D111" i="23"/>
  <c r="D110" i="23"/>
  <c r="D112" i="23" s="1"/>
  <c r="D109" i="23"/>
  <c r="D105" i="23"/>
  <c r="D104" i="23"/>
  <c r="D103" i="23"/>
  <c r="D102" i="23"/>
  <c r="D101" i="23"/>
  <c r="D100" i="23"/>
  <c r="D106" i="23" s="1"/>
  <c r="D96" i="23"/>
  <c r="D95" i="23"/>
  <c r="D94" i="23"/>
  <c r="D93" i="23"/>
  <c r="D92" i="23"/>
  <c r="D91" i="23"/>
  <c r="D90" i="23"/>
  <c r="D89" i="23"/>
  <c r="D88" i="23"/>
  <c r="D87" i="23"/>
  <c r="D86" i="23"/>
  <c r="D85" i="23"/>
  <c r="D84" i="23"/>
  <c r="D97" i="23" s="1"/>
  <c r="D83" i="23"/>
  <c r="D82" i="23"/>
  <c r="D78" i="23"/>
  <c r="D77" i="23"/>
  <c r="D76" i="23"/>
  <c r="D72" i="23"/>
  <c r="D71" i="23"/>
  <c r="D70" i="23"/>
  <c r="D73" i="23" s="1"/>
  <c r="D69" i="23"/>
  <c r="D65" i="23"/>
  <c r="D64" i="23"/>
  <c r="D63" i="23"/>
  <c r="D66" i="23" s="1"/>
  <c r="D62" i="23"/>
  <c r="D61" i="23"/>
  <c r="D57" i="23"/>
  <c r="D56" i="23"/>
  <c r="D55" i="23"/>
  <c r="D54" i="23"/>
  <c r="D53" i="23"/>
  <c r="D52" i="23"/>
  <c r="D51" i="23"/>
  <c r="D50" i="23"/>
  <c r="D49" i="23"/>
  <c r="D48" i="23"/>
  <c r="D46" i="23"/>
  <c r="D45" i="23"/>
  <c r="D44" i="23"/>
  <c r="D43" i="23"/>
  <c r="D42" i="23"/>
  <c r="D41" i="23"/>
  <c r="D40" i="23"/>
  <c r="D39" i="23"/>
  <c r="D37" i="23"/>
  <c r="D36" i="23"/>
  <c r="D27" i="23"/>
  <c r="D26" i="23"/>
  <c r="D21" i="23"/>
  <c r="D15" i="23"/>
  <c r="D14" i="23"/>
  <c r="C112" i="23"/>
  <c r="C106" i="23"/>
  <c r="C97" i="23"/>
  <c r="C79" i="23"/>
  <c r="C73" i="23"/>
  <c r="C66" i="23"/>
  <c r="C58" i="23"/>
  <c r="D79" i="23"/>
  <c r="B47" i="23"/>
  <c r="D47" i="23" s="1"/>
  <c r="B38" i="23"/>
  <c r="D38" i="23" s="1"/>
  <c r="B112" i="23"/>
  <c r="B106" i="23"/>
  <c r="B97" i="23"/>
  <c r="B79" i="23"/>
  <c r="B73" i="23"/>
  <c r="B66" i="23"/>
  <c r="B29" i="23"/>
  <c r="D29" i="23" s="1"/>
  <c r="D3" i="17"/>
  <c r="D4" i="17"/>
  <c r="B7" i="17"/>
  <c r="B11" i="17"/>
  <c r="B15" i="17"/>
  <c r="M2" i="16"/>
  <c r="M3" i="16"/>
  <c r="M4" i="16"/>
  <c r="M5" i="16"/>
  <c r="M6" i="16"/>
  <c r="K8" i="16"/>
  <c r="L8" i="16"/>
  <c r="C296" i="14"/>
  <c r="A5" i="13"/>
  <c r="D5" i="13"/>
  <c r="E5" i="13"/>
  <c r="H5" i="13" s="1"/>
  <c r="K5" i="13"/>
  <c r="L5" i="13" s="1"/>
  <c r="A6" i="13"/>
  <c r="E6" i="13"/>
  <c r="H6" i="13"/>
  <c r="K6" i="13"/>
  <c r="L6" i="13" s="1"/>
  <c r="M6" i="13" s="1"/>
  <c r="E7" i="13"/>
  <c r="H7" i="13" s="1"/>
  <c r="K7" i="13"/>
  <c r="L7" i="13" s="1"/>
  <c r="M7" i="13" s="1"/>
  <c r="A8" i="13"/>
  <c r="D8" i="13"/>
  <c r="K8" i="13" s="1"/>
  <c r="L8" i="13" s="1"/>
  <c r="M8" i="13" s="1"/>
  <c r="D9" i="13"/>
  <c r="E9" i="13" s="1"/>
  <c r="H9" i="13" s="1"/>
  <c r="E10" i="13"/>
  <c r="H10" i="13" s="1"/>
  <c r="K10" i="13"/>
  <c r="L10" i="13" s="1"/>
  <c r="M10" i="13" s="1"/>
  <c r="E11" i="13"/>
  <c r="H11" i="13"/>
  <c r="K11" i="13"/>
  <c r="L11" i="13" s="1"/>
  <c r="M11" i="13" s="1"/>
  <c r="D12" i="13"/>
  <c r="E12" i="13" s="1"/>
  <c r="H12" i="13" s="1"/>
  <c r="A14" i="13"/>
  <c r="D14" i="13"/>
  <c r="A15" i="13"/>
  <c r="D15" i="13"/>
  <c r="K15" i="13" s="1"/>
  <c r="L15" i="13" s="1"/>
  <c r="M15" i="13" s="1"/>
  <c r="D16" i="13"/>
  <c r="D17" i="13"/>
  <c r="E17" i="13" s="1"/>
  <c r="H17" i="13" s="1"/>
  <c r="E18" i="13"/>
  <c r="H18" i="13" s="1"/>
  <c r="K18" i="13"/>
  <c r="L18" i="13" s="1"/>
  <c r="M18" i="13" s="1"/>
  <c r="E19" i="13"/>
  <c r="H19" i="13" s="1"/>
  <c r="K19" i="13"/>
  <c r="L19" i="13"/>
  <c r="M19" i="13" s="1"/>
  <c r="E20" i="13"/>
  <c r="H20" i="13" s="1"/>
  <c r="K20" i="13"/>
  <c r="L20" i="13" s="1"/>
  <c r="M20" i="13" s="1"/>
  <c r="E21" i="13"/>
  <c r="H21" i="13"/>
  <c r="K21" i="13"/>
  <c r="L21" i="13" s="1"/>
  <c r="M21" i="13" s="1"/>
  <c r="D22" i="13"/>
  <c r="E22" i="13" s="1"/>
  <c r="H22" i="13" s="1"/>
  <c r="E23" i="13"/>
  <c r="H23" i="13" s="1"/>
  <c r="K23" i="13"/>
  <c r="L23" i="13" s="1"/>
  <c r="M23" i="13" s="1"/>
  <c r="E24" i="13"/>
  <c r="H24" i="13"/>
  <c r="K24" i="13"/>
  <c r="L24" i="13" s="1"/>
  <c r="M24" i="13" s="1"/>
  <c r="D25" i="13"/>
  <c r="K25" i="13" s="1"/>
  <c r="E25" i="13"/>
  <c r="H25" i="13" s="1"/>
  <c r="D26" i="13"/>
  <c r="E26" i="13" s="1"/>
  <c r="H26" i="13" s="1"/>
  <c r="E27" i="13"/>
  <c r="H27" i="13" s="1"/>
  <c r="K27" i="13"/>
  <c r="L27" i="13" s="1"/>
  <c r="M27" i="13" s="1"/>
  <c r="E28" i="13"/>
  <c r="H28" i="13"/>
  <c r="K28" i="13"/>
  <c r="L28" i="13" s="1"/>
  <c r="M28" i="13" s="1"/>
  <c r="E29" i="13"/>
  <c r="H29" i="13" s="1"/>
  <c r="K29" i="13"/>
  <c r="L29" i="13" s="1"/>
  <c r="M29" i="13" s="1"/>
  <c r="D30" i="13"/>
  <c r="E30" i="13" s="1"/>
  <c r="H30" i="13" s="1"/>
  <c r="K30" i="13"/>
  <c r="L30" i="13" s="1"/>
  <c r="M30" i="13" s="1"/>
  <c r="E32" i="13"/>
  <c r="H32" i="13" s="1"/>
  <c r="K32" i="13"/>
  <c r="L32" i="13"/>
  <c r="M32" i="13" s="1"/>
  <c r="E33" i="13"/>
  <c r="H33" i="13" s="1"/>
  <c r="K33" i="13"/>
  <c r="L33" i="13" s="1"/>
  <c r="E34" i="13"/>
  <c r="H34" i="13"/>
  <c r="K34" i="13"/>
  <c r="L34" i="13" s="1"/>
  <c r="M34" i="13" s="1"/>
  <c r="E35" i="13"/>
  <c r="H35" i="13" s="1"/>
  <c r="K35" i="13"/>
  <c r="L35" i="13" s="1"/>
  <c r="M35" i="13" s="1"/>
  <c r="D36" i="13"/>
  <c r="E37" i="13"/>
  <c r="H37" i="13"/>
  <c r="K37" i="13"/>
  <c r="L37" i="13" s="1"/>
  <c r="M37" i="13" s="1"/>
  <c r="E38" i="13"/>
  <c r="H38" i="13" s="1"/>
  <c r="K38" i="13"/>
  <c r="L38" i="13" s="1"/>
  <c r="M38" i="13" s="1"/>
  <c r="D39" i="13"/>
  <c r="E39" i="13" s="1"/>
  <c r="H39" i="13" s="1"/>
  <c r="K39" i="13"/>
  <c r="L39" i="13" s="1"/>
  <c r="M39" i="13" s="1"/>
  <c r="A40" i="13"/>
  <c r="E40" i="13"/>
  <c r="H40" i="13" s="1"/>
  <c r="K40" i="13"/>
  <c r="L40" i="13"/>
  <c r="M40" i="13" s="1"/>
  <c r="E41" i="13"/>
  <c r="H41" i="13" s="1"/>
  <c r="K41" i="13"/>
  <c r="L41" i="13" s="1"/>
  <c r="E42" i="13"/>
  <c r="H42" i="13"/>
  <c r="K42" i="13"/>
  <c r="L42" i="13" s="1"/>
  <c r="M42" i="13" s="1"/>
  <c r="A43" i="13"/>
  <c r="D43" i="13"/>
  <c r="E44" i="13"/>
  <c r="H44" i="13"/>
  <c r="K44" i="13"/>
  <c r="L44" i="13" s="1"/>
  <c r="M44" i="13" s="1"/>
  <c r="E45" i="13"/>
  <c r="H45" i="13" s="1"/>
  <c r="K45" i="13"/>
  <c r="L45" i="13" s="1"/>
  <c r="M45" i="13" s="1"/>
  <c r="E46" i="13"/>
  <c r="H46" i="13" s="1"/>
  <c r="K46" i="13"/>
  <c r="L46" i="13"/>
  <c r="M46" i="13" s="1"/>
  <c r="E47" i="13"/>
  <c r="H47" i="13" s="1"/>
  <c r="K47" i="13"/>
  <c r="L47" i="13" s="1"/>
  <c r="M47" i="13"/>
  <c r="E48" i="13"/>
  <c r="H48" i="13" s="1"/>
  <c r="K48" i="13"/>
  <c r="L48" i="13"/>
  <c r="M48" i="13" s="1"/>
  <c r="D49" i="13"/>
  <c r="E50" i="13"/>
  <c r="H50" i="13" s="1"/>
  <c r="K50" i="13"/>
  <c r="L50" i="13"/>
  <c r="M50" i="13" s="1"/>
  <c r="E51" i="13"/>
  <c r="H51" i="13" s="1"/>
  <c r="K51" i="13"/>
  <c r="L51" i="13" s="1"/>
  <c r="M51" i="13"/>
  <c r="E52" i="13"/>
  <c r="H52" i="13" s="1"/>
  <c r="K52" i="13"/>
  <c r="L52" i="13"/>
  <c r="M52" i="13" s="1"/>
  <c r="E53" i="13"/>
  <c r="H53" i="13" s="1"/>
  <c r="K53" i="13"/>
  <c r="L53" i="13"/>
  <c r="M53" i="13" s="1"/>
  <c r="E54" i="13"/>
  <c r="H54" i="13" s="1"/>
  <c r="K54" i="13"/>
  <c r="L54" i="13" s="1"/>
  <c r="D55" i="13"/>
  <c r="E55" i="13"/>
  <c r="H55" i="13" s="1"/>
  <c r="K55" i="13"/>
  <c r="L55" i="13" s="1"/>
  <c r="M55" i="13" s="1"/>
  <c r="H56" i="13"/>
  <c r="E57" i="13"/>
  <c r="H57" i="13"/>
  <c r="K57" i="13"/>
  <c r="L57" i="13" s="1"/>
  <c r="M57" i="13" s="1"/>
  <c r="E58" i="13"/>
  <c r="H58" i="13" s="1"/>
  <c r="K58" i="13"/>
  <c r="L58" i="13" s="1"/>
  <c r="E59" i="13"/>
  <c r="H59" i="13" s="1"/>
  <c r="K59" i="13"/>
  <c r="L59" i="13"/>
  <c r="M59" i="13" s="1"/>
  <c r="E60" i="13"/>
  <c r="H60" i="13" s="1"/>
  <c r="K60" i="13"/>
  <c r="L60" i="13" s="1"/>
  <c r="M60" i="13" s="1"/>
  <c r="E61" i="13"/>
  <c r="H61" i="13"/>
  <c r="K61" i="13"/>
  <c r="L61" i="13" s="1"/>
  <c r="M61" i="13" s="1"/>
  <c r="E62" i="13"/>
  <c r="H62" i="13" s="1"/>
  <c r="K62" i="13"/>
  <c r="L62" i="13" s="1"/>
  <c r="M62" i="13" s="1"/>
  <c r="E63" i="13"/>
  <c r="H63" i="13" s="1"/>
  <c r="K63" i="13"/>
  <c r="L63" i="13"/>
  <c r="M63" i="13" s="1"/>
  <c r="D64" i="13"/>
  <c r="E64" i="13" s="1"/>
  <c r="H64" i="13" s="1"/>
  <c r="E65" i="13"/>
  <c r="H65" i="13" s="1"/>
  <c r="K65" i="13"/>
  <c r="L65" i="13"/>
  <c r="M65" i="13" s="1"/>
  <c r="D66" i="13"/>
  <c r="E66" i="13" s="1"/>
  <c r="H66" i="13" s="1"/>
  <c r="D67" i="13"/>
  <c r="E67" i="13" s="1"/>
  <c r="H67" i="13" s="1"/>
  <c r="E68" i="13"/>
  <c r="H68" i="13" s="1"/>
  <c r="K68" i="13"/>
  <c r="L68" i="13" s="1"/>
  <c r="M68" i="13" s="1"/>
  <c r="E69" i="13"/>
  <c r="H69" i="13"/>
  <c r="K69" i="13"/>
  <c r="L69" i="13"/>
  <c r="M69" i="13" s="1"/>
  <c r="E70" i="13"/>
  <c r="H70" i="13" s="1"/>
  <c r="K70" i="13"/>
  <c r="L70" i="13" s="1"/>
  <c r="M70" i="13" s="1"/>
  <c r="E71" i="13"/>
  <c r="H71" i="13"/>
  <c r="K71" i="13"/>
  <c r="L71" i="13"/>
  <c r="M71" i="13" s="1"/>
  <c r="D72" i="13"/>
  <c r="E72" i="13" s="1"/>
  <c r="H72" i="13" s="1"/>
  <c r="H73" i="13"/>
  <c r="D74" i="13"/>
  <c r="E74" i="13" s="1"/>
  <c r="H74" i="13" s="1"/>
  <c r="D75" i="13"/>
  <c r="E75" i="13" s="1"/>
  <c r="H75" i="13" s="1"/>
  <c r="E76" i="13"/>
  <c r="H76" i="13" s="1"/>
  <c r="K76" i="13"/>
  <c r="L76" i="13" s="1"/>
  <c r="M76" i="13" s="1"/>
  <c r="E77" i="13"/>
  <c r="H77" i="13"/>
  <c r="K77" i="13"/>
  <c r="L77" i="13"/>
  <c r="M77" i="13" s="1"/>
  <c r="E78" i="13"/>
  <c r="H78" i="13" s="1"/>
  <c r="K78" i="13"/>
  <c r="L78" i="13" s="1"/>
  <c r="M78" i="13" s="1"/>
  <c r="E79" i="13"/>
  <c r="H79" i="13"/>
  <c r="K79" i="13"/>
  <c r="L79" i="13"/>
  <c r="M79" i="13" s="1"/>
  <c r="A80" i="13"/>
  <c r="E80" i="13"/>
  <c r="H80" i="13" s="1"/>
  <c r="K80" i="13"/>
  <c r="L80" i="13"/>
  <c r="M80" i="13" s="1"/>
  <c r="D81" i="13"/>
  <c r="E81" i="13" s="1"/>
  <c r="H81" i="13" s="1"/>
  <c r="B8" i="11"/>
  <c r="D8" i="11" s="1"/>
  <c r="E8" i="11"/>
  <c r="B9" i="11"/>
  <c r="B10" i="11" s="1"/>
  <c r="D9" i="11"/>
  <c r="E9" i="11"/>
  <c r="C10" i="11"/>
  <c r="D10" i="11"/>
  <c r="B11" i="11"/>
  <c r="D11" i="11"/>
  <c r="E11" i="11"/>
  <c r="B12" i="11"/>
  <c r="D12" i="11" s="1"/>
  <c r="E12" i="11"/>
  <c r="B13" i="11"/>
  <c r="D13" i="11"/>
  <c r="E13" i="11"/>
  <c r="B14" i="11"/>
  <c r="D14" i="11" s="1"/>
  <c r="E14" i="11"/>
  <c r="B15" i="11"/>
  <c r="C15" i="11"/>
  <c r="E15" i="11"/>
  <c r="D16" i="11"/>
  <c r="E16" i="11"/>
  <c r="B17" i="11"/>
  <c r="D17" i="11"/>
  <c r="E17" i="11"/>
  <c r="B18" i="11"/>
  <c r="D18" i="11" s="1"/>
  <c r="E18" i="11"/>
  <c r="C19" i="11"/>
  <c r="E19" i="11"/>
  <c r="D20" i="11"/>
  <c r="E20" i="11"/>
  <c r="B21" i="11"/>
  <c r="D21" i="11"/>
  <c r="E21" i="11"/>
  <c r="B22" i="11"/>
  <c r="D22" i="11" s="1"/>
  <c r="E22" i="11"/>
  <c r="B23" i="11"/>
  <c r="B24" i="11" s="1"/>
  <c r="D23" i="11"/>
  <c r="E23" i="11"/>
  <c r="C24" i="11"/>
  <c r="E24" i="11" s="1"/>
  <c r="D24" i="11"/>
  <c r="D25" i="11"/>
  <c r="E25" i="11"/>
  <c r="B26" i="11"/>
  <c r="E26" i="11"/>
  <c r="B27" i="11"/>
  <c r="D27" i="11"/>
  <c r="E27" i="11"/>
  <c r="C28" i="11"/>
  <c r="E28" i="11"/>
  <c r="B29" i="11"/>
  <c r="D29" i="11" s="1"/>
  <c r="E29" i="11"/>
  <c r="B30" i="11"/>
  <c r="D30" i="11"/>
  <c r="E30" i="11"/>
  <c r="B31" i="11"/>
  <c r="D31" i="11" s="1"/>
  <c r="E31" i="11"/>
  <c r="C32" i="11"/>
  <c r="E32" i="11" s="1"/>
  <c r="B35" i="11"/>
  <c r="E35" i="11"/>
  <c r="B36" i="11"/>
  <c r="D36" i="11" s="1"/>
  <c r="E36" i="11"/>
  <c r="B37" i="11"/>
  <c r="D37" i="11"/>
  <c r="E37" i="11"/>
  <c r="B38" i="11"/>
  <c r="D38" i="11" s="1"/>
  <c r="E38" i="11"/>
  <c r="B39" i="11"/>
  <c r="D39" i="11"/>
  <c r="E39" i="11"/>
  <c r="B40" i="11"/>
  <c r="D40" i="11" s="1"/>
  <c r="E40" i="11"/>
  <c r="B41" i="11"/>
  <c r="D41" i="11"/>
  <c r="E41" i="11"/>
  <c r="C42" i="11"/>
  <c r="E42" i="11" s="1"/>
  <c r="B43" i="11"/>
  <c r="D43" i="11" s="1"/>
  <c r="E43" i="11"/>
  <c r="B44" i="11"/>
  <c r="E44" i="11"/>
  <c r="C45" i="11"/>
  <c r="E45" i="11" s="1"/>
  <c r="B46" i="11"/>
  <c r="D46" i="11" s="1"/>
  <c r="E46" i="11"/>
  <c r="B47" i="11"/>
  <c r="D47" i="11"/>
  <c r="E47" i="11"/>
  <c r="B48" i="11"/>
  <c r="D48" i="11" s="1"/>
  <c r="C48" i="11"/>
  <c r="E48" i="11"/>
  <c r="B49" i="11"/>
  <c r="D49" i="11" s="1"/>
  <c r="E49" i="11"/>
  <c r="D50" i="11"/>
  <c r="E50" i="11"/>
  <c r="B51" i="11"/>
  <c r="C51" i="11"/>
  <c r="B52" i="11"/>
  <c r="C52" i="11"/>
  <c r="B53" i="11"/>
  <c r="C53" i="11"/>
  <c r="D53" i="11" s="1"/>
  <c r="E53" i="11"/>
  <c r="C54" i="11"/>
  <c r="D54" i="11"/>
  <c r="E54" i="11"/>
  <c r="B55" i="11"/>
  <c r="C55" i="11"/>
  <c r="B56" i="11"/>
  <c r="C56" i="11"/>
  <c r="D58" i="11"/>
  <c r="E58" i="11"/>
  <c r="B59" i="11"/>
  <c r="D59" i="11" s="1"/>
  <c r="C59" i="11"/>
  <c r="B60" i="11"/>
  <c r="C60" i="11"/>
  <c r="D60" i="11"/>
  <c r="B61" i="11"/>
  <c r="C61" i="11"/>
  <c r="D61" i="11"/>
  <c r="C62" i="11"/>
  <c r="B63" i="11"/>
  <c r="C63" i="11"/>
  <c r="D63" i="11" s="1"/>
  <c r="E63" i="11"/>
  <c r="B64" i="11"/>
  <c r="C64" i="11"/>
  <c r="D64" i="11" s="1"/>
  <c r="E64" i="11"/>
  <c r="D65" i="11"/>
  <c r="E65" i="11"/>
  <c r="B66" i="11"/>
  <c r="C66" i="11"/>
  <c r="D66" i="11" s="1"/>
  <c r="E66" i="11"/>
  <c r="B67" i="11"/>
  <c r="C67" i="11"/>
  <c r="D67" i="11" s="1"/>
  <c r="E67" i="11"/>
  <c r="C68" i="11"/>
  <c r="B69" i="11"/>
  <c r="C69" i="11"/>
  <c r="C71" i="11"/>
  <c r="D71" i="11" s="1"/>
  <c r="E71" i="11"/>
  <c r="C72" i="11"/>
  <c r="D72" i="11"/>
  <c r="E72" i="11"/>
  <c r="B73" i="11"/>
  <c r="C73" i="11"/>
  <c r="B74" i="11"/>
  <c r="C74" i="11"/>
  <c r="D76" i="11"/>
  <c r="E76" i="11"/>
  <c r="B77" i="11"/>
  <c r="C77" i="11"/>
  <c r="D77" i="11"/>
  <c r="B78" i="11"/>
  <c r="C78" i="11"/>
  <c r="C79" i="11"/>
  <c r="D79" i="11" s="1"/>
  <c r="E79" i="11"/>
  <c r="B80" i="11"/>
  <c r="C80" i="11"/>
  <c r="D80" i="11" s="1"/>
  <c r="E80" i="11"/>
  <c r="C81" i="11"/>
  <c r="C82" i="11"/>
  <c r="D82" i="11" s="1"/>
  <c r="E82" i="11"/>
  <c r="B83" i="11"/>
  <c r="C83" i="11"/>
  <c r="D83" i="11" s="1"/>
  <c r="E83" i="11"/>
  <c r="C84" i="11"/>
  <c r="C85" i="11"/>
  <c r="D85" i="11" s="1"/>
  <c r="E85" i="11"/>
  <c r="B86" i="11"/>
  <c r="D86" i="11"/>
  <c r="E86" i="11"/>
  <c r="D88" i="11"/>
  <c r="E88" i="11"/>
  <c r="B89" i="11"/>
  <c r="C89" i="11"/>
  <c r="C94" i="11" s="1"/>
  <c r="B90" i="11"/>
  <c r="C90" i="11"/>
  <c r="D90" i="11"/>
  <c r="B91" i="11"/>
  <c r="C91" i="11"/>
  <c r="D91" i="11"/>
  <c r="B92" i="11"/>
  <c r="D92" i="11" s="1"/>
  <c r="E92" i="11"/>
  <c r="C93" i="11"/>
  <c r="D93" i="11"/>
  <c r="E93" i="11"/>
  <c r="D95" i="11"/>
  <c r="E95" i="11"/>
  <c r="B96" i="11"/>
  <c r="C96" i="11"/>
  <c r="D96" i="11"/>
  <c r="C97" i="11"/>
  <c r="D97" i="11" s="1"/>
  <c r="E97" i="11"/>
  <c r="C98" i="11"/>
  <c r="D99" i="11"/>
  <c r="E99" i="11"/>
  <c r="C100" i="11"/>
  <c r="D100" i="11"/>
  <c r="E100" i="11"/>
  <c r="C101" i="11"/>
  <c r="D101" i="11" s="1"/>
  <c r="E101" i="11"/>
  <c r="C102" i="11"/>
  <c r="E102" i="11" s="1"/>
  <c r="D102" i="11"/>
  <c r="C103" i="11"/>
  <c r="D103" i="11" s="1"/>
  <c r="E103" i="11"/>
  <c r="B104" i="11"/>
  <c r="C104" i="11"/>
  <c r="C105" i="11"/>
  <c r="E105" i="11" s="1"/>
  <c r="D105" i="11"/>
  <c r="C106" i="11"/>
  <c r="D106" i="11" s="1"/>
  <c r="E106" i="11"/>
  <c r="B107" i="11"/>
  <c r="E107" i="11" s="1"/>
  <c r="C107" i="11"/>
  <c r="C108" i="11"/>
  <c r="E108" i="11" s="1"/>
  <c r="D108" i="11"/>
  <c r="D110" i="11"/>
  <c r="E110" i="11"/>
  <c r="C111" i="11"/>
  <c r="D111" i="11" s="1"/>
  <c r="E111" i="11"/>
  <c r="B112" i="11"/>
  <c r="C112" i="11"/>
  <c r="B113" i="11"/>
  <c r="C113" i="11"/>
  <c r="D113" i="11" s="1"/>
  <c r="E113" i="11"/>
  <c r="C114" i="11"/>
  <c r="D114" i="11"/>
  <c r="E114" i="11"/>
  <c r="B115" i="11"/>
  <c r="C115" i="11"/>
  <c r="C116" i="11"/>
  <c r="D116" i="11" s="1"/>
  <c r="E116" i="11"/>
  <c r="C117" i="11"/>
  <c r="D117" i="11"/>
  <c r="E117" i="11"/>
  <c r="D119" i="11"/>
  <c r="E119" i="11"/>
  <c r="C120" i="11"/>
  <c r="D120" i="11" s="1"/>
  <c r="E120" i="11"/>
  <c r="B121" i="11"/>
  <c r="C121" i="11"/>
  <c r="D121" i="11" s="1"/>
  <c r="E121" i="11"/>
  <c r="C122" i="11"/>
  <c r="B123" i="11"/>
  <c r="B124" i="11"/>
  <c r="C124" i="11"/>
  <c r="B125" i="11"/>
  <c r="D125" i="11" s="1"/>
  <c r="E125" i="11"/>
  <c r="C126" i="11"/>
  <c r="D126" i="11"/>
  <c r="E126" i="11"/>
  <c r="C127" i="11"/>
  <c r="C128" i="11"/>
  <c r="D128" i="11"/>
  <c r="E128" i="11"/>
  <c r="C129" i="11"/>
  <c r="D129" i="11" s="1"/>
  <c r="E129" i="11"/>
  <c r="H6" i="2"/>
  <c r="I6" i="2" s="1"/>
  <c r="E7" i="2"/>
  <c r="H7" i="2"/>
  <c r="I7" i="2" s="1"/>
  <c r="E8" i="2"/>
  <c r="I8" i="2" s="1"/>
  <c r="H8" i="2"/>
  <c r="H9" i="2"/>
  <c r="H14" i="2"/>
  <c r="I14" i="2" s="1"/>
  <c r="H15" i="2"/>
  <c r="I15" i="2"/>
  <c r="H16" i="2"/>
  <c r="I16" i="2" s="1"/>
  <c r="H17" i="2"/>
  <c r="I17" i="2"/>
  <c r="H18" i="2"/>
  <c r="I18" i="2" s="1"/>
  <c r="I23" i="2"/>
  <c r="H31" i="2"/>
  <c r="I31" i="2"/>
  <c r="H32" i="2"/>
  <c r="I32" i="2"/>
  <c r="H33" i="2"/>
  <c r="I33" i="2"/>
  <c r="H36" i="2"/>
  <c r="I36" i="2" s="1"/>
  <c r="H40" i="2"/>
  <c r="I40" i="2" s="1"/>
  <c r="H45" i="2"/>
  <c r="I45" i="2" s="1"/>
  <c r="H21" i="8"/>
  <c r="H28" i="8" s="1"/>
  <c r="O21" i="8"/>
  <c r="B13" i="7"/>
  <c r="D4" i="22"/>
  <c r="F5" i="22"/>
  <c r="L5" i="22"/>
  <c r="M5" i="22" s="1"/>
  <c r="M6" i="22"/>
  <c r="F7" i="22"/>
  <c r="F24" i="22" s="1"/>
  <c r="G24" i="22" s="1"/>
  <c r="J7" i="22"/>
  <c r="L7" i="22" s="1"/>
  <c r="M7" i="22" s="1"/>
  <c r="M8" i="22"/>
  <c r="M9" i="22"/>
  <c r="M10" i="22"/>
  <c r="M11" i="22"/>
  <c r="J12" i="22"/>
  <c r="M12" i="22"/>
  <c r="J13" i="22"/>
  <c r="M14" i="22"/>
  <c r="L15" i="22"/>
  <c r="M15" i="22" s="1"/>
  <c r="L16" i="22"/>
  <c r="M16" i="22" s="1"/>
  <c r="M17" i="22"/>
  <c r="L18" i="22"/>
  <c r="M18" i="22"/>
  <c r="M19" i="22"/>
  <c r="M20" i="22"/>
  <c r="M21" i="22"/>
  <c r="M22" i="22"/>
  <c r="O22" i="22"/>
  <c r="L23" i="22"/>
  <c r="M23" i="22" s="1"/>
  <c r="H24" i="22"/>
  <c r="I24" i="22"/>
  <c r="K3" i="9"/>
  <c r="K4" i="9"/>
  <c r="K13" i="9"/>
  <c r="K14" i="9"/>
  <c r="H15" i="9"/>
  <c r="I15" i="9" s="1"/>
  <c r="K15" i="9"/>
  <c r="D16" i="9"/>
  <c r="E16" i="9" s="1"/>
  <c r="F16" i="9" s="1"/>
  <c r="H16" i="9"/>
  <c r="I16" i="9"/>
  <c r="K16" i="9"/>
  <c r="O16" i="9"/>
  <c r="F17" i="9"/>
  <c r="E19" i="9"/>
  <c r="H19" i="9"/>
  <c r="I19" i="9" s="1"/>
  <c r="K21" i="9"/>
  <c r="K22" i="9"/>
  <c r="E23" i="9"/>
  <c r="H23" i="9"/>
  <c r="I23" i="9" s="1"/>
  <c r="K25" i="9"/>
  <c r="D9" i="20"/>
  <c r="F10" i="20" s="1"/>
  <c r="B11" i="20"/>
  <c r="C11" i="20"/>
  <c r="C26" i="20" s="1"/>
  <c r="B17" i="20"/>
  <c r="C17" i="20"/>
  <c r="D17" i="20"/>
  <c r="B24" i="20"/>
  <c r="B26" i="20" s="1"/>
  <c r="C24" i="20"/>
  <c r="D24" i="20"/>
  <c r="D32" i="20"/>
  <c r="B34" i="20"/>
  <c r="B35" i="20"/>
  <c r="B36" i="20"/>
  <c r="B37" i="20"/>
  <c r="A40" i="20"/>
  <c r="A42" i="20"/>
  <c r="A48" i="20"/>
  <c r="A54" i="20"/>
  <c r="A57" i="20"/>
  <c r="A60" i="20"/>
  <c r="B62" i="20"/>
  <c r="B69" i="20"/>
  <c r="B70" i="20"/>
  <c r="B71" i="20" s="1"/>
  <c r="B72" i="20" s="1"/>
  <c r="F3" i="1"/>
  <c r="M4" i="1"/>
  <c r="O4" i="1" s="1"/>
  <c r="O16" i="1" s="1"/>
  <c r="G6" i="1"/>
  <c r="O6" i="1"/>
  <c r="J9" i="1"/>
  <c r="M9" i="1"/>
  <c r="O9" i="1"/>
  <c r="G14" i="1"/>
  <c r="M14" i="1"/>
  <c r="J16" i="1"/>
  <c r="J30" i="1" s="1"/>
  <c r="N16" i="1"/>
  <c r="G18" i="1"/>
  <c r="G23" i="1"/>
  <c r="G28" i="1" s="1"/>
  <c r="O23" i="1"/>
  <c r="O26" i="1"/>
  <c r="I28" i="1"/>
  <c r="J28" i="1"/>
  <c r="M28" i="1"/>
  <c r="G29" i="1"/>
  <c r="I30" i="1"/>
  <c r="N45" i="1"/>
  <c r="N46" i="1"/>
  <c r="M47" i="1"/>
  <c r="O47" i="1"/>
  <c r="N47" i="1" s="1"/>
  <c r="N48" i="1"/>
  <c r="N49" i="1"/>
  <c r="N50" i="1"/>
  <c r="N51" i="1"/>
  <c r="F52" i="1"/>
  <c r="F74" i="1" s="1"/>
  <c r="F135" i="1" s="1"/>
  <c r="N52" i="1"/>
  <c r="N53" i="1"/>
  <c r="N54" i="1"/>
  <c r="N55" i="1"/>
  <c r="N56" i="1"/>
  <c r="N57" i="1"/>
  <c r="O58" i="1"/>
  <c r="N58" i="1" s="1"/>
  <c r="N59" i="1"/>
  <c r="N60" i="1"/>
  <c r="N61" i="1"/>
  <c r="N62" i="1"/>
  <c r="N63" i="1"/>
  <c r="N64" i="1"/>
  <c r="N65" i="1"/>
  <c r="N66" i="1"/>
  <c r="H67" i="1"/>
  <c r="N67" i="1"/>
  <c r="H68" i="1"/>
  <c r="N68" i="1"/>
  <c r="H69" i="1"/>
  <c r="N69" i="1"/>
  <c r="H70" i="1"/>
  <c r="N70" i="1"/>
  <c r="H71" i="1"/>
  <c r="N71" i="1"/>
  <c r="H72" i="1"/>
  <c r="N72" i="1"/>
  <c r="N74" i="1" s="1"/>
  <c r="G74" i="1"/>
  <c r="I74" i="1"/>
  <c r="M74" i="1"/>
  <c r="O74" i="1"/>
  <c r="H76" i="1"/>
  <c r="N76" i="1"/>
  <c r="H77" i="1"/>
  <c r="N77" i="1"/>
  <c r="N78" i="1"/>
  <c r="H79" i="1"/>
  <c r="N79" i="1"/>
  <c r="H80" i="1"/>
  <c r="H81" i="1" s="1"/>
  <c r="N80" i="1"/>
  <c r="F81" i="1"/>
  <c r="G81" i="1"/>
  <c r="M81" i="1"/>
  <c r="O81" i="1"/>
  <c r="N81" i="1" s="1"/>
  <c r="N82" i="1"/>
  <c r="H83" i="1"/>
  <c r="N83" i="1"/>
  <c r="N89" i="1" s="1"/>
  <c r="H84" i="1"/>
  <c r="N84" i="1"/>
  <c r="N85" i="1"/>
  <c r="N86" i="1"/>
  <c r="N87" i="1"/>
  <c r="N88" i="1"/>
  <c r="F89" i="1"/>
  <c r="G89" i="1"/>
  <c r="K17" i="9" s="1"/>
  <c r="H89" i="1"/>
  <c r="M89" i="1"/>
  <c r="O89" i="1"/>
  <c r="N90" i="1"/>
  <c r="N91" i="1"/>
  <c r="N92" i="1"/>
  <c r="N94" i="1" s="1"/>
  <c r="H93" i="1"/>
  <c r="N93" i="1"/>
  <c r="F94" i="1"/>
  <c r="G94" i="1"/>
  <c r="K18" i="9" s="1"/>
  <c r="L18" i="9" s="1"/>
  <c r="H94" i="1"/>
  <c r="M94" i="1"/>
  <c r="O94" i="1"/>
  <c r="N95" i="1"/>
  <c r="N96" i="1"/>
  <c r="N97" i="1"/>
  <c r="N98" i="1"/>
  <c r="N99" i="1"/>
  <c r="N100" i="1"/>
  <c r="N101" i="1"/>
  <c r="N102" i="1"/>
  <c r="N103" i="1"/>
  <c r="N104" i="1"/>
  <c r="N105" i="1"/>
  <c r="N106" i="1"/>
  <c r="N107" i="1"/>
  <c r="N109" i="1"/>
  <c r="M110" i="1"/>
  <c r="N110" i="1" s="1"/>
  <c r="N111" i="1"/>
  <c r="N112" i="1"/>
  <c r="N113" i="1"/>
  <c r="N114" i="1"/>
  <c r="N115" i="1"/>
  <c r="F116" i="1"/>
  <c r="G116" i="1"/>
  <c r="K19" i="9" s="1"/>
  <c r="H116" i="1"/>
  <c r="M116" i="1"/>
  <c r="O116" i="1"/>
  <c r="N117" i="1"/>
  <c r="N118" i="1"/>
  <c r="N119" i="1"/>
  <c r="N120" i="1"/>
  <c r="N121" i="1"/>
  <c r="N122" i="1"/>
  <c r="N123" i="1"/>
  <c r="G124" i="1"/>
  <c r="K20" i="9" s="1"/>
  <c r="H124" i="1"/>
  <c r="M124" i="1"/>
  <c r="O124" i="1"/>
  <c r="N125" i="1"/>
  <c r="N126" i="1"/>
  <c r="N127" i="1"/>
  <c r="N128" i="1"/>
  <c r="F129" i="1"/>
  <c r="G129" i="1"/>
  <c r="K23" i="9" s="1"/>
  <c r="H129" i="1"/>
  <c r="M129" i="1"/>
  <c r="M131" i="1" s="1"/>
  <c r="O129" i="1"/>
  <c r="N130" i="1"/>
  <c r="G131" i="1"/>
  <c r="G135" i="1" s="1"/>
  <c r="I131" i="1"/>
  <c r="G133" i="1"/>
  <c r="N133" i="1"/>
  <c r="N134" i="1"/>
  <c r="N135" i="1"/>
  <c r="N136" i="1"/>
  <c r="I137" i="1"/>
  <c r="M5" i="13"/>
  <c r="L25" i="13"/>
  <c r="M25" i="13" s="1"/>
  <c r="N31" i="13"/>
  <c r="D11" i="20" l="1"/>
  <c r="D26" i="20" s="1"/>
  <c r="I34" i="2"/>
  <c r="E124" i="11"/>
  <c r="D124" i="11"/>
  <c r="D112" i="11"/>
  <c r="E112" i="11"/>
  <c r="E84" i="11"/>
  <c r="D84" i="11"/>
  <c r="E55" i="11"/>
  <c r="D55" i="11"/>
  <c r="E14" i="13"/>
  <c r="H14" i="13" s="1"/>
  <c r="K14" i="13"/>
  <c r="L14" i="13" s="1"/>
  <c r="M14" i="13" s="1"/>
  <c r="D52" i="11"/>
  <c r="E52" i="11"/>
  <c r="C57" i="11"/>
  <c r="C33" i="11"/>
  <c r="E33" i="11" s="1"/>
  <c r="K43" i="13"/>
  <c r="L43" i="13" s="1"/>
  <c r="M43" i="13" s="1"/>
  <c r="E43" i="13"/>
  <c r="H43" i="13" s="1"/>
  <c r="O13" i="22"/>
  <c r="J24" i="22"/>
  <c r="L13" i="22"/>
  <c r="M13" i="22" s="1"/>
  <c r="M24" i="22"/>
  <c r="I19" i="2"/>
  <c r="D127" i="11"/>
  <c r="E127" i="11"/>
  <c r="C130" i="11"/>
  <c r="E115" i="11"/>
  <c r="D115" i="11"/>
  <c r="E78" i="11"/>
  <c r="D78" i="11"/>
  <c r="D62" i="11"/>
  <c r="E62" i="11"/>
  <c r="D44" i="11"/>
  <c r="B45" i="11"/>
  <c r="D45" i="11" s="1"/>
  <c r="D26" i="11"/>
  <c r="B28" i="11"/>
  <c r="D28" i="11" s="1"/>
  <c r="K36" i="13"/>
  <c r="L36" i="13" s="1"/>
  <c r="M36" i="13" s="1"/>
  <c r="E36" i="13"/>
  <c r="H36" i="13" s="1"/>
  <c r="E16" i="13"/>
  <c r="H16" i="13" s="1"/>
  <c r="K16" i="13"/>
  <c r="L16" i="13" s="1"/>
  <c r="M16" i="13" s="1"/>
  <c r="E104" i="11"/>
  <c r="B109" i="11"/>
  <c r="K31" i="13"/>
  <c r="L31" i="13" s="1"/>
  <c r="M31" i="13" s="1"/>
  <c r="O31" i="13"/>
  <c r="P31" i="13" s="1"/>
  <c r="N124" i="1"/>
  <c r="H74" i="1"/>
  <c r="H131" i="1" s="1"/>
  <c r="H135" i="1" s="1"/>
  <c r="H137" i="1" s="1"/>
  <c r="E122" i="11"/>
  <c r="D122" i="11"/>
  <c r="B118" i="11"/>
  <c r="B87" i="11"/>
  <c r="E81" i="11"/>
  <c r="D81" i="11"/>
  <c r="E73" i="11"/>
  <c r="D73" i="11"/>
  <c r="E68" i="11"/>
  <c r="D68" i="11"/>
  <c r="D56" i="11"/>
  <c r="E51" i="11"/>
  <c r="B57" i="11"/>
  <c r="B42" i="11"/>
  <c r="D42" i="11" s="1"/>
  <c r="D35" i="11"/>
  <c r="L14" i="9"/>
  <c r="E89" i="11"/>
  <c r="E74" i="11"/>
  <c r="E69" i="11"/>
  <c r="O131" i="1"/>
  <c r="L20" i="9"/>
  <c r="O28" i="1"/>
  <c r="G16" i="1"/>
  <c r="L15" i="9"/>
  <c r="D107" i="11"/>
  <c r="D104" i="11"/>
  <c r="B94" i="11"/>
  <c r="E91" i="11"/>
  <c r="D89" i="11"/>
  <c r="E77" i="11"/>
  <c r="D74" i="11"/>
  <c r="D69" i="11"/>
  <c r="E61" i="11"/>
  <c r="D51" i="11"/>
  <c r="D15" i="11"/>
  <c r="E10" i="11"/>
  <c r="D115" i="24"/>
  <c r="L22" i="9"/>
  <c r="I9" i="2"/>
  <c r="E59" i="11"/>
  <c r="E56" i="11"/>
  <c r="C31" i="25"/>
  <c r="L23" i="9"/>
  <c r="N129" i="1"/>
  <c r="L19" i="9"/>
  <c r="L17" i="9"/>
  <c r="A37" i="20"/>
  <c r="L21" i="9"/>
  <c r="L13" i="9"/>
  <c r="E96" i="11"/>
  <c r="E90" i="11"/>
  <c r="B70" i="11"/>
  <c r="B75" i="11" s="1"/>
  <c r="E60" i="11"/>
  <c r="E15" i="13"/>
  <c r="H15" i="13" s="1"/>
  <c r="E8" i="13"/>
  <c r="H8" i="13" s="1"/>
  <c r="L26" i="23"/>
  <c r="L28" i="23" s="1"/>
  <c r="E130" i="24"/>
  <c r="E115" i="24"/>
  <c r="C130" i="24"/>
  <c r="C132" i="24"/>
  <c r="N116" i="1"/>
  <c r="G20" i="1"/>
  <c r="G30" i="1"/>
  <c r="N131" i="1"/>
  <c r="O30" i="1"/>
  <c r="O137" i="1" s="1"/>
  <c r="L16" i="9"/>
  <c r="I37" i="2"/>
  <c r="I38" i="2" s="1"/>
  <c r="I49" i="2"/>
  <c r="M58" i="13"/>
  <c r="M54" i="13"/>
  <c r="P55" i="13" s="1"/>
  <c r="O55" i="13"/>
  <c r="M16" i="1"/>
  <c r="M30" i="1" s="1"/>
  <c r="M137" i="1" s="1"/>
  <c r="B46" i="20"/>
  <c r="K6" i="9"/>
  <c r="L24" i="22"/>
  <c r="N24" i="22" s="1"/>
  <c r="I41" i="2"/>
  <c r="I42" i="2" s="1"/>
  <c r="B130" i="11"/>
  <c r="C123" i="11"/>
  <c r="C118" i="11"/>
  <c r="C109" i="11"/>
  <c r="B98" i="11"/>
  <c r="C87" i="11"/>
  <c r="C70" i="11"/>
  <c r="B32" i="11"/>
  <c r="D32" i="11" s="1"/>
  <c r="B19" i="11"/>
  <c r="M33" i="13"/>
  <c r="P39" i="13" s="1"/>
  <c r="O39" i="13"/>
  <c r="D82" i="13"/>
  <c r="K81" i="13"/>
  <c r="L81" i="13" s="1"/>
  <c r="M81" i="13" s="1"/>
  <c r="K75" i="13"/>
  <c r="L75" i="13" s="1"/>
  <c r="M75" i="13" s="1"/>
  <c r="K74" i="13"/>
  <c r="K72" i="13"/>
  <c r="L72" i="13" s="1"/>
  <c r="M72" i="13" s="1"/>
  <c r="K67" i="13"/>
  <c r="L67" i="13" s="1"/>
  <c r="M67" i="13" s="1"/>
  <c r="K66" i="13"/>
  <c r="K64" i="13"/>
  <c r="N55" i="13"/>
  <c r="E49" i="13"/>
  <c r="H49" i="13" s="1"/>
  <c r="K49" i="13"/>
  <c r="M41" i="13"/>
  <c r="N39" i="13"/>
  <c r="K26" i="13"/>
  <c r="K22" i="13"/>
  <c r="L22" i="13" s="1"/>
  <c r="M22" i="13" s="1"/>
  <c r="K17" i="13"/>
  <c r="K12" i="13"/>
  <c r="L12" i="13" s="1"/>
  <c r="M12" i="13" s="1"/>
  <c r="K9" i="13"/>
  <c r="C22" i="23"/>
  <c r="D22" i="23"/>
  <c r="D31" i="23" s="1"/>
  <c r="D58" i="23"/>
  <c r="C31" i="23"/>
  <c r="C116" i="23"/>
  <c r="D116" i="23"/>
  <c r="B58" i="23"/>
  <c r="B116" i="23" s="1"/>
  <c r="B22" i="23"/>
  <c r="B31" i="23" s="1"/>
  <c r="E57" i="11" l="1"/>
  <c r="D57" i="11"/>
  <c r="E94" i="11"/>
  <c r="D94" i="11"/>
  <c r="E82" i="13"/>
  <c r="L49" i="13"/>
  <c r="N49" i="13"/>
  <c r="L66" i="13"/>
  <c r="N72" i="13"/>
  <c r="L74" i="13"/>
  <c r="N81" i="13"/>
  <c r="D87" i="11"/>
  <c r="E87" i="11"/>
  <c r="D109" i="11"/>
  <c r="E109" i="11"/>
  <c r="D123" i="11"/>
  <c r="E123" i="11"/>
  <c r="K10" i="9"/>
  <c r="L6" i="9"/>
  <c r="L9" i="13"/>
  <c r="N12" i="13"/>
  <c r="L17" i="13"/>
  <c r="N22" i="13"/>
  <c r="L26" i="13"/>
  <c r="N30" i="13"/>
  <c r="L64" i="13"/>
  <c r="N64" i="13"/>
  <c r="D19" i="11"/>
  <c r="B33" i="11"/>
  <c r="D70" i="11"/>
  <c r="E70" i="11"/>
  <c r="C75" i="11"/>
  <c r="E98" i="11"/>
  <c r="D98" i="11"/>
  <c r="B131" i="11"/>
  <c r="D118" i="11"/>
  <c r="E118" i="11"/>
  <c r="E130" i="11"/>
  <c r="D130" i="11"/>
  <c r="G137" i="1"/>
  <c r="G36" i="1"/>
  <c r="D118" i="23"/>
  <c r="B118" i="23"/>
  <c r="C118" i="23"/>
  <c r="D33" i="11" l="1"/>
  <c r="B132" i="11"/>
  <c r="M26" i="13"/>
  <c r="P30" i="13" s="1"/>
  <c r="O30" i="13"/>
  <c r="M17" i="13"/>
  <c r="P22" i="13" s="1"/>
  <c r="O22" i="13"/>
  <c r="N13" i="13"/>
  <c r="K13" i="13" s="1"/>
  <c r="D75" i="11"/>
  <c r="C131" i="11"/>
  <c r="E75" i="11"/>
  <c r="M64" i="13"/>
  <c r="P64" i="13" s="1"/>
  <c r="O64" i="13"/>
  <c r="M9" i="13"/>
  <c r="O12" i="13"/>
  <c r="L7" i="9"/>
  <c r="I25" i="9"/>
  <c r="L5" i="9"/>
  <c r="L9" i="9"/>
  <c r="L4" i="9"/>
  <c r="L3" i="9"/>
  <c r="K26" i="9"/>
  <c r="K27" i="9" s="1"/>
  <c r="M74" i="13"/>
  <c r="P81" i="13" s="1"/>
  <c r="O81" i="13"/>
  <c r="M66" i="13"/>
  <c r="P72" i="13" s="1"/>
  <c r="O72" i="13"/>
  <c r="M49" i="13"/>
  <c r="P49" i="13" s="1"/>
  <c r="O49" i="13"/>
  <c r="O82" i="13" l="1"/>
  <c r="L13" i="13"/>
  <c r="K82" i="13"/>
  <c r="P12" i="13"/>
  <c r="P82" i="13" s="1"/>
  <c r="E131" i="11"/>
  <c r="C132" i="11"/>
  <c r="N82" i="13"/>
  <c r="D132" i="11"/>
  <c r="B133" i="11"/>
  <c r="D131" i="11"/>
  <c r="M13" i="13" l="1"/>
  <c r="M82" i="13" s="1"/>
  <c r="L82" i="13"/>
  <c r="E132" i="11"/>
  <c r="C133" i="11"/>
  <c r="E133" i="11" s="1"/>
  <c r="D133" i="11" l="1"/>
  <c r="C121" i="24"/>
  <c r="E121" i="24" l="1"/>
</calcChain>
</file>

<file path=xl/sharedStrings.xml><?xml version="1.0" encoding="utf-8"?>
<sst xmlns="http://schemas.openxmlformats.org/spreadsheetml/2006/main" count="1585" uniqueCount="816">
  <si>
    <t>8.16% for fringe benefits</t>
  </si>
  <si>
    <t>Concerts, etc.</t>
  </si>
  <si>
    <t>line 11 plus line 17 plus line 24</t>
  </si>
  <si>
    <r>
      <t xml:space="preserve">ACTUAL REVENUE RAISED </t>
    </r>
    <r>
      <rPr>
        <b/>
        <sz val="10"/>
        <color indexed="23"/>
        <rFont val="Biondi"/>
      </rPr>
      <t>in 2008-09</t>
    </r>
    <r>
      <rPr>
        <b/>
        <sz val="8"/>
        <color indexed="23"/>
        <rFont val="Biondi"/>
      </rPr>
      <t xml:space="preserve"> FOR 2009 -10 EXPENSES</t>
    </r>
  </si>
  <si>
    <t xml:space="preserve">Detailed budgets exist for every line item, and the parent volunteer who is responsible for expenditures related to each line item is responsible for adhering to the underlying budget or seeking approval for changes from the Executive Board.  </t>
  </si>
  <si>
    <t>Note that this budget may be substantially revised as it is contingent upon DOE funding of the PS334 budget and revenue raised which may fluctuate greatly year to year.  Nothing in this budget should be construed as a guarantee of funding for any future years.</t>
  </si>
  <si>
    <t>Grants</t>
  </si>
  <si>
    <t xml:space="preserve">Allocation from Carryover   </t>
  </si>
  <si>
    <t>Restricted carry over 2009-10</t>
  </si>
  <si>
    <t>2009 Paddleraiser **</t>
  </si>
  <si>
    <t>Clearwater boat trip - 6th grade</t>
  </si>
  <si>
    <t xml:space="preserve">As of 5/31/10  </t>
  </si>
  <si>
    <t>n/a</t>
  </si>
  <si>
    <t>Updated as of May 31, 2010</t>
  </si>
  <si>
    <t>( 356 K gross less restricted)</t>
  </si>
  <si>
    <t>Instruments</t>
  </si>
  <si>
    <t>Furniture</t>
  </si>
  <si>
    <t>Subtotal:  Lower-School</t>
  </si>
  <si>
    <t>GRAND TOTAL MUSIC BUDGET</t>
  </si>
  <si>
    <t xml:space="preserve"> Chorus Accompaniment</t>
  </si>
  <si>
    <t xml:space="preserve">Band/Orchestra/Chorus/Afterschool  </t>
  </si>
  <si>
    <t>PROPOSED PTA MUSIC BUDGET DETAIL</t>
  </si>
  <si>
    <t>SPENT 09/10</t>
  </si>
  <si>
    <t>Budget 10/11</t>
  </si>
  <si>
    <t>Instructor Costs</t>
  </si>
  <si>
    <t>1/2 year program in 09/10 funded through DOE, need budget for 10/11 full year program</t>
  </si>
  <si>
    <t>Pending (DOE)</t>
  </si>
  <si>
    <t>teacher paid at F-Status rate</t>
  </si>
  <si>
    <t>CAPITAL IMPROVEMENTS for 2010/11</t>
  </si>
  <si>
    <t>New Stools - Orchestra room</t>
  </si>
  <si>
    <t>new stools, 35 *27 plus shipping $100</t>
  </si>
  <si>
    <t>New Stools - LS music room</t>
  </si>
  <si>
    <t>GRAND TOTAL CAPITAL IMPROVEMENT BUDGET</t>
  </si>
  <si>
    <t>method books - orchestra 5th/AMS (level 2), $8*35</t>
  </si>
  <si>
    <t>method books - new students, $9 *11</t>
  </si>
  <si>
    <t>method books - band 4th/5th (level I), $9*40</t>
  </si>
  <si>
    <t>method books - orchestra 4th (level 1), $8*20</t>
  </si>
  <si>
    <t>New chorus &amp; Afterschool Band music</t>
  </si>
  <si>
    <t>5 new band scores, $5*50</t>
  </si>
  <si>
    <t xml:space="preserve">instruments - bass drum mallet, ongoing percussion set expansion </t>
  </si>
  <si>
    <t>ongoing - reeds, posters, photos, books, CD's, DVD's</t>
  </si>
  <si>
    <t>TOTAL Upper</t>
  </si>
  <si>
    <t>method books, choral music, choral folders</t>
  </si>
  <si>
    <t>alto xylophone</t>
  </si>
  <si>
    <t>soprano xylophone</t>
  </si>
  <si>
    <t>bass xylophone</t>
  </si>
  <si>
    <t>talking drum</t>
  </si>
  <si>
    <t>additional small percussion instruments (creating class sets)</t>
  </si>
  <si>
    <t>music library - books, CD, DVD</t>
  </si>
  <si>
    <t>supplies - music charts, games, posters, classroom needs</t>
  </si>
  <si>
    <t>portable music chalkboard</t>
  </si>
  <si>
    <t>soundproofing</t>
  </si>
  <si>
    <t>TOTAL Lower</t>
  </si>
  <si>
    <t>Instructor Costs - Full/Part-Time (F-Status) - per contract</t>
  </si>
  <si>
    <t>A per diem employee engaged for a full term but for less than 5 full days per week (e.g., 2 days every week). The Full/Part Time employee receives a salary pro-rated for the time worked at 1/200th of the salary step (up to step 4A) that would be entitled on a full time basis.</t>
  </si>
  <si>
    <t>Salary - Step 1 - Maters + 30 credits</t>
  </si>
  <si>
    <t>will adjust per new contract in 2010</t>
  </si>
  <si>
    <t>divided by 200 = daily rate</t>
  </si>
  <si>
    <t>divided by 6 hours 40 minutes (6.67 hours) = hourly rate</t>
  </si>
  <si>
    <t>15 hours per week = weekly rate</t>
  </si>
  <si>
    <t>approx 35 weeks in the school year</t>
  </si>
  <si>
    <t>Paddle Raiser 2009 (Books and Beakers)**</t>
  </si>
  <si>
    <t>Paddle Raiser - 2010</t>
  </si>
  <si>
    <t>Wellness Education **</t>
  </si>
  <si>
    <t>Copying, Printing, Mailings, Misc.</t>
  </si>
  <si>
    <t>Budget 09/10</t>
  </si>
  <si>
    <t>Subtotal:  Instructor Costs</t>
  </si>
  <si>
    <t>LowerSchool Chorus Accompaniment (Deena Kaye)</t>
  </si>
  <si>
    <t xml:space="preserve">LowerSchool Teacher </t>
  </si>
  <si>
    <t xml:space="preserve">LowerSchool Teacher planning </t>
  </si>
  <si>
    <t>Upper-School</t>
  </si>
  <si>
    <t xml:space="preserve">Student method books </t>
  </si>
  <si>
    <t>Band/Orchestra/Chorus/Afterschool Band Music</t>
  </si>
  <si>
    <t xml:space="preserve">Instruments  </t>
  </si>
  <si>
    <t>Supplies</t>
  </si>
  <si>
    <t>Subtotal: Upper-School</t>
  </si>
  <si>
    <t>Lower-School</t>
  </si>
  <si>
    <t>not applicable</t>
  </si>
  <si>
    <t>Giving Tree for Wellness</t>
  </si>
  <si>
    <t>Adj for publishing exp.</t>
  </si>
  <si>
    <t xml:space="preserve">Additional Direct Appeal  </t>
  </si>
  <si>
    <t>Chess Teams (school wide)</t>
  </si>
  <si>
    <t>Principal' s Discretionary</t>
  </si>
  <si>
    <t>Auction and Presales (gross)</t>
  </si>
  <si>
    <t>Gifts (non Holiday)**</t>
  </si>
  <si>
    <t>Greening of School **</t>
  </si>
  <si>
    <t>Guest speakers (for PTA mtgs)**</t>
  </si>
  <si>
    <t>386: Beachfront Villa Nah Hah: Cost to us: $1000 SOLD FOR: $1,450. NET: $450</t>
  </si>
  <si>
    <t>394: Island Resort in Belize - cost to us: $1,100. SOLD FOR: $1,800 NET: $700</t>
  </si>
  <si>
    <t>385A: Oceanfront Panama Villa: Cost to us: $750. SOLD FOR: $1,500 (sold online) NET: $750</t>
  </si>
  <si>
    <t>388: Sunsets at Villa Luminosa: Cost to us: $800 SOLD FOR: $1400 NET: $600</t>
  </si>
  <si>
    <t>Total revenue booked from Vaca homes: $6,150</t>
  </si>
  <si>
    <t>Net to Auction: $2,500</t>
  </si>
  <si>
    <t>Check that needs to be sent to Vacation Homes for Charity:</t>
  </si>
  <si>
    <t>sales price</t>
  </si>
  <si>
    <t>cost to us</t>
  </si>
  <si>
    <t>net</t>
  </si>
  <si>
    <t>Vacation Home Sales Gross</t>
  </si>
  <si>
    <t>Live Packages</t>
  </si>
  <si>
    <t>Revenue</t>
  </si>
  <si>
    <t>No.</t>
  </si>
  <si>
    <t>Avg.</t>
  </si>
  <si>
    <t>Class Projects in Live</t>
  </si>
  <si>
    <t>Paddle Raiser</t>
  </si>
  <si>
    <t>Raffle</t>
  </si>
  <si>
    <t>TOTAL LIVE</t>
  </si>
  <si>
    <t xml:space="preserve">TOTAL SILENT </t>
  </si>
  <si>
    <t>TOTAL BOARDS</t>
  </si>
  <si>
    <t>Raffles, Bars, Boutique</t>
  </si>
  <si>
    <t>Online/Presale</t>
  </si>
  <si>
    <t>Ads</t>
  </si>
  <si>
    <t>Ticket Revenue</t>
  </si>
  <si>
    <t>Cash Donations to Auction</t>
  </si>
  <si>
    <t>TOTAL AUCTION REVENUE</t>
  </si>
  <si>
    <r>
      <t xml:space="preserve">ACTUAL REVENUE RAISED </t>
    </r>
    <r>
      <rPr>
        <b/>
        <sz val="10"/>
        <color indexed="30"/>
        <rFont val="Biondi"/>
      </rPr>
      <t>in 2008-09</t>
    </r>
    <r>
      <rPr>
        <b/>
        <sz val="8"/>
        <color indexed="30"/>
        <rFont val="Biondi"/>
      </rPr>
      <t xml:space="preserve"> FOR 2009 -10 EXPENSES</t>
    </r>
  </si>
  <si>
    <t>Increase of $100K over last year</t>
  </si>
  <si>
    <t>Babysitting (PTA mtgs)</t>
  </si>
  <si>
    <t>Hospitality (PTA mtgs)</t>
  </si>
  <si>
    <t>Hospitality (other functions)</t>
  </si>
  <si>
    <t>Hospitality open houses</t>
  </si>
  <si>
    <t>Translation</t>
  </si>
  <si>
    <t>SUPPLIES &amp; EQUIPMENT</t>
  </si>
  <si>
    <t xml:space="preserve">ADMINISTRATIVE </t>
  </si>
  <si>
    <t>Legal Fees/Other Fees</t>
  </si>
  <si>
    <t>Software/Technology</t>
  </si>
  <si>
    <t>Supplies/Postage</t>
  </si>
  <si>
    <t>PTA Equipment</t>
  </si>
  <si>
    <t>TOTAL EXPENSES</t>
  </si>
  <si>
    <t xml:space="preserve">MOVE RELATED  </t>
  </si>
  <si>
    <t>Insurance (PTA)</t>
  </si>
  <si>
    <t>ELECTIVE BREAKDOWNS   2009-2010</t>
  </si>
  <si>
    <t>COST</t>
  </si>
  <si>
    <t>PER</t>
  </si>
  <si>
    <t># OF WEEKS</t>
  </si>
  <si>
    <t>TEACHER</t>
  </si>
  <si>
    <t>P/ WEEK</t>
  </si>
  <si>
    <t>$ PER WEEK</t>
  </si>
  <si>
    <t>$ PER YEAR</t>
  </si>
  <si>
    <t>per hour</t>
  </si>
  <si>
    <t>Ben Winters</t>
  </si>
  <si>
    <t>Kindergarten (3 classes)</t>
  </si>
  <si>
    <t>per class</t>
  </si>
  <si>
    <t>Mr. P or  Mr. T</t>
  </si>
  <si>
    <t>1st Grade (3 classes)</t>
  </si>
  <si>
    <t>2nd Grade</t>
  </si>
  <si>
    <t>3rd Grade</t>
  </si>
  <si>
    <t>Prep</t>
  </si>
  <si>
    <t xml:space="preserve">Mr. P </t>
  </si>
  <si>
    <t>Auction Expenses</t>
  </si>
  <si>
    <t>GROSS REVENUE</t>
  </si>
  <si>
    <t>Anderson Journal - Ad Revenue</t>
  </si>
  <si>
    <t>TOTAL GROSS REVENUE</t>
  </si>
  <si>
    <t>Non recurring</t>
  </si>
  <si>
    <t>2010-11</t>
  </si>
  <si>
    <t>WORKING EXPENSES SUBTOTAL</t>
  </si>
  <si>
    <t xml:space="preserve">General Fundraising Events   </t>
  </si>
  <si>
    <t>SUB TOTAL COST OF FUNDRAISING</t>
  </si>
  <si>
    <t>Explanatory notes:</t>
  </si>
  <si>
    <t>Architecture</t>
  </si>
  <si>
    <t>DOE</t>
  </si>
  <si>
    <t>TADA</t>
  </si>
  <si>
    <t>Spanish</t>
  </si>
  <si>
    <t>Salary</t>
  </si>
  <si>
    <t>FOA</t>
  </si>
  <si>
    <t>Writing Specialist Grades 3-6</t>
  </si>
  <si>
    <t>Spanish K-5</t>
  </si>
  <si>
    <t>Ballroom dancing 8th Grade</t>
  </si>
  <si>
    <t>Symphony Space 3rd Grade</t>
  </si>
  <si>
    <t>$4,400 plus tips and overnight accomodations</t>
  </si>
  <si>
    <t>6th Grade Buses to Camp Speers</t>
  </si>
  <si>
    <t>7th Grade Buses to Boston</t>
  </si>
  <si>
    <t>8th grade Buses to Washington D.C.</t>
  </si>
  <si>
    <t>$4,000 plus tips and overnight accomodations</t>
  </si>
  <si>
    <t>4,500 plus tips and overnight accomodations</t>
  </si>
  <si>
    <t>COST OF FUNDRAISING</t>
  </si>
  <si>
    <t>Writing Specialist (grades 3 - 5)</t>
  </si>
  <si>
    <t>Notes</t>
  </si>
  <si>
    <t>APPROVED 2009-10 Budget</t>
  </si>
  <si>
    <t xml:space="preserve"> </t>
  </si>
  <si>
    <t>Expenses</t>
  </si>
  <si>
    <t>ENRICHMENTS</t>
  </si>
  <si>
    <t>Chess</t>
  </si>
  <si>
    <t>Dance/Movement</t>
  </si>
  <si>
    <t>Symphony Space</t>
  </si>
  <si>
    <t xml:space="preserve"> SUBTOTAL</t>
  </si>
  <si>
    <t xml:space="preserve">STAFF </t>
  </si>
  <si>
    <t>Staff Development</t>
  </si>
  <si>
    <t>Staff advert./Teacher Recruitment</t>
  </si>
  <si>
    <t>PROGRAM &amp; CLUB ACTIVITIES</t>
  </si>
  <si>
    <t>Field Day</t>
  </si>
  <si>
    <t>Recess Equipment</t>
  </si>
  <si>
    <t xml:space="preserve">SPORTS  </t>
  </si>
  <si>
    <t>Grade K-5 sports (Recess)</t>
  </si>
  <si>
    <t>Grade 6-8 sport teams</t>
  </si>
  <si>
    <t xml:space="preserve">PARENT INVOLVEMENT </t>
  </si>
  <si>
    <t>Dance/Movement K-2</t>
  </si>
  <si>
    <t>Law - 5th grade</t>
  </si>
  <si>
    <t>Jennifer</t>
  </si>
  <si>
    <t>2009-2010 Sports Budget</t>
  </si>
  <si>
    <t>Budget</t>
  </si>
  <si>
    <t>Actual</t>
  </si>
  <si>
    <t>Variance</t>
  </si>
  <si>
    <t>All soccer</t>
  </si>
  <si>
    <t>Soccer Uniforms</t>
  </si>
  <si>
    <t>Soccer referees</t>
  </si>
  <si>
    <t>All Volleyball</t>
  </si>
  <si>
    <t>Volleyball uniforms</t>
  </si>
  <si>
    <t>Volleyball fees</t>
  </si>
  <si>
    <t>Volleyball referees</t>
  </si>
  <si>
    <t>All Basketball</t>
  </si>
  <si>
    <t>Basketball coaching</t>
  </si>
  <si>
    <t>Basketball uniforms</t>
  </si>
  <si>
    <t>Basketball league fee</t>
  </si>
  <si>
    <t>Basketball referees</t>
  </si>
  <si>
    <t>All baseball</t>
  </si>
  <si>
    <t>Baseball referees</t>
  </si>
  <si>
    <t>Baseball equipment</t>
  </si>
  <si>
    <t>Tennis/track/football</t>
  </si>
  <si>
    <t>Tennis equipment</t>
  </si>
  <si>
    <t>Track uniforms</t>
  </si>
  <si>
    <t>Flag football uniforms</t>
  </si>
  <si>
    <t>"Sports equipment for teams/new school"</t>
  </si>
  <si>
    <t>Banquet</t>
  </si>
  <si>
    <t>Total</t>
  </si>
  <si>
    <t>Chess Total</t>
  </si>
  <si>
    <t>session</t>
  </si>
  <si>
    <t>8 (sessions)</t>
  </si>
  <si>
    <t>Clearwater Boat -  4th grade trip</t>
  </si>
  <si>
    <t>trip</t>
  </si>
  <si>
    <t>5th Grade Trip</t>
  </si>
  <si>
    <t>AMS Bus Trip (6th, 7th &amp; 8th grade)</t>
  </si>
  <si>
    <t>Law - Classroom ( Start Wk of Oct 13)</t>
  </si>
  <si>
    <t xml:space="preserve">hour </t>
  </si>
  <si>
    <t>Dara Sheinfeld</t>
  </si>
  <si>
    <t xml:space="preserve"> Courtroom</t>
  </si>
  <si>
    <t>4 trips</t>
  </si>
  <si>
    <t xml:space="preserve">  Assistant </t>
  </si>
  <si>
    <t>Law Total</t>
  </si>
  <si>
    <t>AMS Electives</t>
  </si>
  <si>
    <t>FICA Etc</t>
  </si>
  <si>
    <t>Each</t>
  </si>
  <si>
    <t>AMS Afterschool Electives/Clubs</t>
  </si>
  <si>
    <t>Music K - 2</t>
  </si>
  <si>
    <t xml:space="preserve">Lower School Instructor costs </t>
  </si>
  <si>
    <t>ELECTIVE TOTAL</t>
  </si>
  <si>
    <r>
      <t xml:space="preserve">We buy various pieces of equipment throughout the year.  The 'regularly replenishables' are mainly inexpensive and cheap and they do not last very long.  They are from </t>
    </r>
    <r>
      <rPr>
        <u/>
        <sz val="10"/>
        <color indexed="63"/>
        <rFont val="Segoe UI"/>
        <family val="2"/>
      </rPr>
      <t>Camp Athletic Supply</t>
    </r>
    <r>
      <rPr>
        <sz val="10"/>
        <color indexed="63"/>
        <rFont val="Segoe UI"/>
        <family val="2"/>
      </rPr>
      <t xml:space="preserve"> (Mindy Wigatow's brother-in-law).  </t>
    </r>
  </si>
  <si>
    <r>
      <t>Jump Ropes</t>
    </r>
    <r>
      <rPr>
        <sz val="10"/>
        <color indexed="63"/>
        <rFont val="Segoe UI"/>
        <family val="2"/>
      </rPr>
      <t>  ($1-2 each; approx $120/year),</t>
    </r>
  </si>
  <si>
    <r>
      <t>Balls</t>
    </r>
    <r>
      <rPr>
        <sz val="10"/>
        <color indexed="63"/>
        <rFont val="Segoe UI"/>
        <family val="2"/>
      </rPr>
      <t>        2 types of balls:  light weight balls for the Fall and Spring ($2.50 each) and Heavier Winter balls, ($3.50-$4.00 each).  </t>
    </r>
  </si>
  <si>
    <r>
      <t xml:space="preserve">Chalk </t>
    </r>
    <r>
      <rPr>
        <sz val="10"/>
        <color indexed="63"/>
        <rFont val="Segoe UI"/>
        <family val="2"/>
      </rPr>
      <t>($45 three times a year)</t>
    </r>
  </si>
  <si>
    <t>Longer term purchases:  Better quality so they last longer:  From Gopher Sports</t>
  </si>
  <si>
    <r>
      <t>Basketballs</t>
    </r>
    <r>
      <rPr>
        <sz val="10"/>
        <color indexed="63"/>
        <rFont val="Segoe UI"/>
        <family val="2"/>
      </rPr>
      <t>, ($10 each, approx. $100/year)</t>
    </r>
  </si>
  <si>
    <r>
      <t>Hoola Hoops</t>
    </r>
    <r>
      <rPr>
        <sz val="10"/>
        <color indexed="63"/>
        <rFont val="Segoe UI"/>
        <family val="2"/>
      </rPr>
      <t>  ($250-$300/year).   </t>
    </r>
  </si>
  <si>
    <r>
      <t xml:space="preserve">About the cheap Balls:  We lose about </t>
    </r>
    <r>
      <rPr>
        <i/>
        <sz val="10"/>
        <color indexed="63"/>
        <rFont val="Segoe UI"/>
        <family val="2"/>
      </rPr>
      <t>15 balls per week</t>
    </r>
    <r>
      <rPr>
        <sz val="10"/>
        <color indexed="63"/>
        <rFont val="Segoe UI"/>
        <family val="2"/>
      </rPr>
      <t>.   The Administration has not been helpful in putting in a strict policy of how limitations on how these balls can be used, and thus, they get bounced onto the roof, or over the fence.  We are lucky to have a administration staff member who has access to the building on W76th Street to retrieve balls from their back court.  However, the kids continue to overuse/abuse the balls and thus they need to be replenished weekly.</t>
    </r>
  </si>
  <si>
    <t>Other items that have been purchased, within the budget, include:  Cones and Markers; Skippies (ankle hoops); Cups and Balls (a big hit with the kids- about $50 worth).  This year a Parachute was added for the K recess area.  At the end of last year, with the extra money in the budget, a new Ball Holder was purchased (it is in the shed, has wheels). </t>
  </si>
  <si>
    <t>All in all, the money has been well spent.  I think continuing the with same $2000 budget would be appropriate.  If we need to squeeze, we could lower it to $1500. </t>
  </si>
  <si>
    <t xml:space="preserve"> DRAFT 2010-11 Budget </t>
  </si>
  <si>
    <t xml:space="preserve"> 2009-10 </t>
  </si>
  <si>
    <t>Discussed</t>
  </si>
  <si>
    <t>Priority</t>
  </si>
  <si>
    <t>Spending</t>
  </si>
  <si>
    <t>Discretionary</t>
  </si>
  <si>
    <t>REVISED</t>
  </si>
  <si>
    <t>DRAFT</t>
  </si>
  <si>
    <t xml:space="preserve">Notes </t>
  </si>
  <si>
    <t>We have a pump for the balls.  However, we do not have an electrical outlet that is designated for this purpose and there does not seem to be a spare.  Often, one in Marcie or Donna's office is used (and the pump is noisy).  It might be helpful to work on a solution, which might entail buying a longer cord so it can be done outside. </t>
  </si>
  <si>
    <r>
      <t>Chess Team:</t>
    </r>
    <r>
      <rPr>
        <sz val="10"/>
        <color indexed="63"/>
        <rFont val="Segoe UI"/>
        <family val="2"/>
      </rPr>
      <t> </t>
    </r>
  </si>
  <si>
    <t>The expenses will be for the NYC Championships which take place Jan 30-31st.  We will be paying for a team room and coaching.</t>
  </si>
  <si>
    <t>The costs come to $1500:    $500 for the room + $500/day for 2 days for the coaching. </t>
  </si>
  <si>
    <t>Roughly $600 will come from participate families:  They are asked for $30 each x about 20+ families participating. </t>
  </si>
  <si>
    <r>
      <t xml:space="preserve">Total cost from the PTA will be approximately </t>
    </r>
    <r>
      <rPr>
        <b/>
        <sz val="10"/>
        <color indexed="63"/>
        <rFont val="Segoe UI"/>
        <family val="2"/>
      </rPr>
      <t>$900</t>
    </r>
    <r>
      <rPr>
        <sz val="10"/>
        <color indexed="63"/>
        <rFont val="Segoe UI"/>
        <family val="2"/>
      </rPr>
      <t>. </t>
    </r>
  </si>
  <si>
    <t>I still need to work on Field Day port-o-potties, Math and Debate club.  I'll try asap.</t>
  </si>
  <si>
    <t>Ellen</t>
  </si>
  <si>
    <t>DRAFT - Items to submit to FOA for grant funding.</t>
  </si>
  <si>
    <t xml:space="preserve">   PS334 Anderson  PTA </t>
  </si>
  <si>
    <t>Staff Holiday &amp; End of Year Event</t>
  </si>
  <si>
    <t xml:space="preserve">Teachers appreciation </t>
  </si>
  <si>
    <t xml:space="preserve">PS334 Anderson  PTA   </t>
  </si>
  <si>
    <t>Draft</t>
  </si>
  <si>
    <t>PTA CONTINGENCY FUND</t>
  </si>
  <si>
    <t>Equipment for Recess Sports and gym</t>
    <phoneticPr fontId="2" type="noConversion"/>
  </si>
  <si>
    <t>Bi-Annual Schoolwide Wellenss event</t>
    <phoneticPr fontId="2" type="noConversion"/>
  </si>
  <si>
    <t>Sources of budget: Christine Cirker and Coach Rob</t>
  </si>
  <si>
    <t>Source of actual: Marc Kaplowitz</t>
  </si>
  <si>
    <t>Programs and Club Activities</t>
  </si>
  <si>
    <r>
      <t xml:space="preserve">Recess Equipment:  Current person in charge:  Sylvia Perelli.  </t>
    </r>
    <r>
      <rPr>
        <b/>
        <i/>
        <sz val="10"/>
        <color indexed="63"/>
        <rFont val="Segoe UI"/>
        <family val="2"/>
      </rPr>
      <t xml:space="preserve">Sylvia is actively looking for someone to replace her on this job, asap. </t>
    </r>
  </si>
  <si>
    <t xml:space="preserve">   5020 COST OF AUCTION</t>
  </si>
  <si>
    <t xml:space="preserve">      5022 Auctionpay Fees</t>
  </si>
  <si>
    <t xml:space="preserve">   Total 5020 COST OF AUCTION</t>
  </si>
  <si>
    <t xml:space="preserve">   5040 COST OF DONATIONS</t>
  </si>
  <si>
    <t xml:space="preserve">      5042 Auctionpay Fees</t>
  </si>
  <si>
    <t xml:space="preserve">   Total 5040 COST OF DONATIONS</t>
  </si>
  <si>
    <t xml:space="preserve">   5060 EXPENSES FROM PREVIOUS YEAR</t>
  </si>
  <si>
    <t xml:space="preserve">   5100 SCHOOL SUPPORT EXPENSES</t>
  </si>
  <si>
    <t xml:space="preserve">      5101 Community Web Site - eChalk</t>
  </si>
  <si>
    <t xml:space="preserve">Teacher training/professional development incorporating physical activity in the classroom during the school day </t>
    <phoneticPr fontId="2" type="noConversion"/>
  </si>
  <si>
    <t xml:space="preserve">Lab equipment/ lights/earth boxes for growing food in classrooms and incorporating into curricula in various grades </t>
    <phoneticPr fontId="2" type="noConversion"/>
  </si>
  <si>
    <t>Teacher training//profession al development on growing food in the classroom and incorporating into curricula in various grades</t>
    <phoneticPr fontId="2" type="noConversion"/>
  </si>
  <si>
    <t xml:space="preserve">Monthly educational presentations to parents </t>
    <phoneticPr fontId="2" type="noConversion"/>
  </si>
  <si>
    <t>Honoraria for speakers</t>
    <phoneticPr fontId="2" type="noConversion"/>
  </si>
  <si>
    <t>Gym supervision for children</t>
    <phoneticPr fontId="2" type="noConversion"/>
  </si>
  <si>
    <t>Preliminary Budget for Wellness Committee for 2010-2011</t>
    <phoneticPr fontId="2" type="noConversion"/>
  </si>
  <si>
    <t>High estimate</t>
    <phoneticPr fontId="2" type="noConversion"/>
  </si>
  <si>
    <t>Low estimate</t>
    <phoneticPr fontId="2" type="noConversion"/>
  </si>
  <si>
    <t>Monthly educational presentations to parents</t>
  </si>
  <si>
    <t>$250/month x 10 months</t>
    <phoneticPr fontId="2" type="noConversion"/>
  </si>
  <si>
    <t xml:space="preserve"> $150/month x 10 months </t>
    <phoneticPr fontId="2" type="noConversion"/>
  </si>
  <si>
    <t>$40/supervisor ($20/hour x 2 hours) x 3 supervisors x 10 months</t>
    <phoneticPr fontId="2" type="noConversion"/>
  </si>
  <si>
    <t>Gym supervision for children during parents educational presentations</t>
    <phoneticPr fontId="2" type="noConversion"/>
  </si>
  <si>
    <t>$40/supervisor ($15/hour x 2 hours) x 3 supervisors x 10 months</t>
    <phoneticPr fontId="2" type="noConversion"/>
  </si>
  <si>
    <t>Wellness Café/Contract with Wellness in Schools to provide supplimentation to the school lunches</t>
    <phoneticPr fontId="2" type="noConversion"/>
  </si>
  <si>
    <t>Wellness Café/Contract with Wellness in Schools to provide supplimentation to the school lunches</t>
  </si>
  <si>
    <t>Recess sports (Soccer and other structured activities facilitated by outside vendors)</t>
    <phoneticPr fontId="2" type="noConversion"/>
  </si>
  <si>
    <t xml:space="preserve">Teacher training development incorporating physical activity in the classroom during the school day </t>
    <phoneticPr fontId="2" type="noConversion"/>
  </si>
  <si>
    <t>Already included in budget</t>
  </si>
  <si>
    <t>From Jan 25th Meeting</t>
  </si>
  <si>
    <t>Possbile cuts</t>
  </si>
  <si>
    <t>Change</t>
  </si>
  <si>
    <t>AMS Teams and Meets -  Debate</t>
  </si>
  <si>
    <t>AMS - Teams and Meets Robotics</t>
  </si>
  <si>
    <t xml:space="preserve">   5500 PROGRAM ACTIVITIES</t>
  </si>
  <si>
    <t xml:space="preserve">      5503 Recess Equipment</t>
  </si>
  <si>
    <t xml:space="preserve">      5504 Teams and Meets (Chess, Math, Debate)</t>
  </si>
  <si>
    <t xml:space="preserve">   Total 5500 PROGRAM ACTIVITIES</t>
  </si>
  <si>
    <t xml:space="preserve">   5600 PARENT INVOLVEMENT</t>
  </si>
  <si>
    <t xml:space="preserve">      5601 Incoming K Welcome Event</t>
  </si>
  <si>
    <t xml:space="preserve">      5602 New Parent Welcome Event</t>
  </si>
  <si>
    <t xml:space="preserve">      5603 Incoming AMS Welcome Event</t>
  </si>
  <si>
    <t xml:space="preserve">      5604 8th Grade Graduation</t>
  </si>
  <si>
    <t>Parents of PS334, Inc.</t>
  </si>
  <si>
    <t xml:space="preserve">Budget vs. Actuals: Budget Revised November - FY10 P&amp;L </t>
  </si>
  <si>
    <t>August 2009 - July 2010</t>
  </si>
  <si>
    <t>$ Over Budget</t>
  </si>
  <si>
    <t>% of Budget</t>
  </si>
  <si>
    <t>Income</t>
  </si>
  <si>
    <t xml:space="preserve">   4000 FUNDRAISING REVENUE</t>
  </si>
  <si>
    <t xml:space="preserve">      4004 Election day bake sale</t>
  </si>
  <si>
    <t xml:space="preserve">   Total 4000 FUNDRAISING REVENUE</t>
  </si>
  <si>
    <t xml:space="preserve">   4100 FUNDS RAISED FROM PREVIOUS YEAR</t>
  </si>
  <si>
    <t xml:space="preserve">      4101 Direct Appeal (PTA)</t>
  </si>
  <si>
    <t xml:space="preserve">      4102 Direct Appeal (FOA)</t>
  </si>
  <si>
    <t xml:space="preserve">      4103 Auction</t>
  </si>
  <si>
    <t xml:space="preserve">   Total 4100 FUNDS RAISED FROM PREVIOUS YEAR</t>
  </si>
  <si>
    <t xml:space="preserve">   4400 AUCTION</t>
  </si>
  <si>
    <t xml:space="preserve">      4403 Sales</t>
  </si>
  <si>
    <t xml:space="preserve">      4404 Online sales</t>
  </si>
  <si>
    <t xml:space="preserve">   Total 4400 AUCTION</t>
  </si>
  <si>
    <t xml:space="preserve">   4500 CONTRIBUTIONS, DONATIONS, GRANTS</t>
  </si>
  <si>
    <t xml:space="preserve">      4530 Corporate sponsorships</t>
  </si>
  <si>
    <t xml:space="preserve">      4566 Direct Appeal</t>
  </si>
  <si>
    <t xml:space="preserve">      4567 Matching Grants</t>
  </si>
  <si>
    <t xml:space="preserve">   Total 4500 CONTRIBUTIONS, DONATIONS, GRANTS</t>
  </si>
  <si>
    <t xml:space="preserve">   4600 RESTRICTED CONTRIBUTIONS, DONATIONS, GRANTS</t>
  </si>
  <si>
    <t xml:space="preserve">      4602 New School Classrom Needs</t>
  </si>
  <si>
    <t xml:space="preserve">      4603 Admin, Teacher, Staff Holiday &amp; Year-End Gifts</t>
  </si>
  <si>
    <t xml:space="preserve">   Total 4600 RESTRICTED CONTRIBUTIONS, DONATIONS, GRANTS</t>
  </si>
  <si>
    <t xml:space="preserve">   4900 OTHER INCOME</t>
  </si>
  <si>
    <t xml:space="preserve">      4902 Interest-savings/short-term inv</t>
  </si>
  <si>
    <t xml:space="preserve">      4920 Class photos</t>
  </si>
  <si>
    <t xml:space="preserve">   Total 4900 OTHER INCOME</t>
  </si>
  <si>
    <t>Total Income</t>
  </si>
  <si>
    <t xml:space="preserve">   5000 COSTS OF FUNDRAISING</t>
  </si>
  <si>
    <t xml:space="preserve">      5001 Rentals</t>
  </si>
  <si>
    <t xml:space="preserve">      5002 Staffing</t>
  </si>
  <si>
    <t xml:space="preserve">      5003 Supplies &amp; Materials</t>
  </si>
  <si>
    <t xml:space="preserve">      5004 Costs of Goods Sold</t>
  </si>
  <si>
    <t xml:space="preserve">      5005 Printing, Copying, Publishing, Advertising</t>
  </si>
  <si>
    <t xml:space="preserve">      5006 Fees</t>
  </si>
  <si>
    <t xml:space="preserve">   Total 5000 COSTS OF FUNDRAISING</t>
  </si>
  <si>
    <t>Budgeted Weekly Hours</t>
  </si>
  <si>
    <t>Budgeted Annual Hours</t>
  </si>
  <si>
    <t xml:space="preserve">Actual Hours as of </t>
  </si>
  <si>
    <t>Remaining Hours for FY 2009-10</t>
  </si>
  <si>
    <t>Budgeted Annual Expense</t>
  </si>
  <si>
    <t xml:space="preserve">Actual Expense  as of </t>
  </si>
  <si>
    <t>Remaining Expense for FY 2009-10</t>
  </si>
  <si>
    <t>For Approval  Weekly Hours For FY 2010-11</t>
  </si>
  <si>
    <t>FY 2010-11  Annual Hours (36 weeks)</t>
  </si>
  <si>
    <t>For Approval 2010-2011    Annual Expense</t>
  </si>
  <si>
    <t xml:space="preserve">      5102 Furniture/Equipment/Supplies</t>
  </si>
  <si>
    <t xml:space="preserve">      5103 Principal's Discretionary School Fund</t>
  </si>
  <si>
    <t xml:space="preserve">      5104 Gardening</t>
  </si>
  <si>
    <t xml:space="preserve">      5106 PTA EB Contingency</t>
  </si>
  <si>
    <t xml:space="preserve">      5107 Capital Improvements</t>
  </si>
  <si>
    <t xml:space="preserve">   Total 5100 SCHOOL SUPPORT EXPENSES</t>
  </si>
  <si>
    <t xml:space="preserve">   5200 ENRICHMENTS</t>
  </si>
  <si>
    <t xml:space="preserve">      5201 Writing Specialist (Gr 3-5)</t>
  </si>
  <si>
    <t xml:space="preserve">      5202 Chess (Gr K-3)</t>
  </si>
  <si>
    <t xml:space="preserve">      5203 Spanish (Gr K-4)</t>
  </si>
  <si>
    <t xml:space="preserve">      5204 Dance / Movement (Gr K-2)</t>
  </si>
  <si>
    <t xml:space="preserve">      5205 Law (Gr 5)</t>
  </si>
  <si>
    <t xml:space="preserve">      5206 AMS Electives/Clubs (Gr 6-8)</t>
  </si>
  <si>
    <t xml:space="preserve">      5210 Music</t>
  </si>
  <si>
    <t xml:space="preserve">         5212 Upper Grade Supplies (Gr 3-8)</t>
  </si>
  <si>
    <t xml:space="preserve">         5213 Lower Grade Program (Gr K-2)</t>
  </si>
  <si>
    <t xml:space="preserve">         5214 Lower Grade Piano Accompaniment (Gr K-2)</t>
  </si>
  <si>
    <t xml:space="preserve">         5215 Lower Grade Supplies and Instruments (Gr K-2)</t>
  </si>
  <si>
    <t xml:space="preserve">      Total 5210 Music</t>
  </si>
  <si>
    <t xml:space="preserve">      5220 Symphony Space (Gr 3)</t>
  </si>
  <si>
    <t xml:space="preserve">      5221 Clearwater Boat Trip (Gr 4)</t>
  </si>
  <si>
    <t xml:space="preserve">      5222 5th Grade Bus Trip</t>
  </si>
  <si>
    <t xml:space="preserve">      5223 AMS Bus Trip (Gr 6-8)</t>
  </si>
  <si>
    <t xml:space="preserve">   Total 5200 ENRICHMENTS</t>
  </si>
  <si>
    <t xml:space="preserve">   5300 STAFF</t>
  </si>
  <si>
    <t xml:space="preserve">      5301 Staff Development</t>
  </si>
  <si>
    <t xml:space="preserve">      5303 Assistant Teachers - Salaries</t>
  </si>
  <si>
    <t xml:space="preserve">      5304 Payroll Taxes / Administrative Costs</t>
  </si>
  <si>
    <t xml:space="preserve">      5305 Tech Support</t>
  </si>
  <si>
    <t xml:space="preserve">      5306 Staff Advertising Teacher Recruitment</t>
  </si>
  <si>
    <t xml:space="preserve">      5307 Teacher Appreciation week</t>
  </si>
  <si>
    <t xml:space="preserve">      5308 Gifts (non Holiday)</t>
  </si>
  <si>
    <t xml:space="preserve">      5309 Staff Holiday Event</t>
  </si>
  <si>
    <t xml:space="preserve">      5310 Wellness Cafe Chef</t>
  </si>
  <si>
    <t xml:space="preserve">      5311 Gifts (Holiday)</t>
  </si>
  <si>
    <t xml:space="preserve">   Total 5300 STAFF</t>
  </si>
  <si>
    <t xml:space="preserve">   5400 SPORTS</t>
  </si>
  <si>
    <t xml:space="preserve">      5401 Grade K-5 Sports (Recess)</t>
  </si>
  <si>
    <t xml:space="preserve">      5402 Grade 6-8 sports teams</t>
  </si>
  <si>
    <t xml:space="preserve">      5403 Gym Equipment</t>
  </si>
  <si>
    <t xml:space="preserve">      5404 Gym - Capital Improvements</t>
  </si>
  <si>
    <t xml:space="preserve">      5405 Field Day</t>
  </si>
  <si>
    <t xml:space="preserve">   Total 5400 SPORTS</t>
  </si>
  <si>
    <t>Douglass, R</t>
  </si>
  <si>
    <t>Feick</t>
  </si>
  <si>
    <t>SS 6th</t>
  </si>
  <si>
    <t>Art -6th</t>
  </si>
  <si>
    <t>SS 7th</t>
  </si>
  <si>
    <t>Zolla</t>
  </si>
  <si>
    <t>ELA - 7th</t>
  </si>
  <si>
    <t>Kuraraswamy</t>
  </si>
  <si>
    <t xml:space="preserve">Science 7th </t>
  </si>
  <si>
    <t>Abbott</t>
  </si>
  <si>
    <t xml:space="preserve">Math 7th </t>
  </si>
  <si>
    <t>Art -7th</t>
  </si>
  <si>
    <t>P.E. 7th</t>
  </si>
  <si>
    <t>ELA - 8th</t>
  </si>
  <si>
    <t>Nunziata</t>
  </si>
  <si>
    <t>SS 8th</t>
  </si>
  <si>
    <t>Math 8th</t>
  </si>
  <si>
    <t>Science 8th</t>
  </si>
  <si>
    <t>Art -8th</t>
  </si>
  <si>
    <t>P.E. 8th</t>
  </si>
  <si>
    <t>TOTALS</t>
  </si>
  <si>
    <t>Updated as of  02/08/2010</t>
  </si>
  <si>
    <t>BUDGET</t>
  </si>
  <si>
    <t>Tuesday, March 3, 2010</t>
  </si>
  <si>
    <t xml:space="preserve">Requested </t>
  </si>
  <si>
    <t>Difference</t>
  </si>
  <si>
    <t>App vs Req</t>
  </si>
  <si>
    <t>Estimated</t>
  </si>
  <si>
    <t>Enrichments (all grades)</t>
  </si>
  <si>
    <t>Buses for Trips  (4th-8th)</t>
  </si>
  <si>
    <t>Staff</t>
  </si>
  <si>
    <t>%</t>
  </si>
  <si>
    <t>Sports teams, gym and recess</t>
  </si>
  <si>
    <t>Program and Club Activites</t>
  </si>
  <si>
    <t xml:space="preserve">Parent Involvement </t>
  </si>
  <si>
    <t>PTA supplies and equipment</t>
  </si>
  <si>
    <t xml:space="preserve">      5605 Babysitting-PTA meetings</t>
  </si>
  <si>
    <t xml:space="preserve">      5606 Guest Speakers (PTA meetings)</t>
  </si>
  <si>
    <t xml:space="preserve">      5607 Hospitality (PTA mtgs)</t>
  </si>
  <si>
    <t xml:space="preserve">      5608 Hospitality (other functions)</t>
  </si>
  <si>
    <t xml:space="preserve">      5609 Hospitality Open House</t>
  </si>
  <si>
    <t xml:space="preserve">   Total 5600 PARENT INVOLVEMENT</t>
  </si>
  <si>
    <t xml:space="preserve">   5700 ADMINISTRATIVE</t>
  </si>
  <si>
    <t xml:space="preserve">      5701 Software/Technology</t>
  </si>
  <si>
    <t xml:space="preserve">      5702 Supplies / Postage</t>
  </si>
  <si>
    <t xml:space="preserve">      5703 Printing, Copying, Publications</t>
  </si>
  <si>
    <t xml:space="preserve">      5705 Credit Card Processing (non Fundraising)</t>
  </si>
  <si>
    <t xml:space="preserve">      5706 Bad Check / Bank Charges</t>
  </si>
  <si>
    <t xml:space="preserve">      5708 PTA Equipment</t>
  </si>
  <si>
    <t xml:space="preserve">      5709 Translation</t>
  </si>
  <si>
    <t xml:space="preserve">   Total 5700 ADMINISTRATIVE</t>
  </si>
  <si>
    <t xml:space="preserve">   5750 PROFESSIONAL FEES &amp; SERVICES</t>
  </si>
  <si>
    <t xml:space="preserve">      5751 Accounting fees</t>
  </si>
  <si>
    <t xml:space="preserve">      5752 Insurance</t>
  </si>
  <si>
    <t xml:space="preserve">      5754 Legal Fees / Other Fees</t>
  </si>
  <si>
    <t xml:space="preserve">   Total 5750 PROFESSIONAL FEES &amp; SERVICES</t>
  </si>
  <si>
    <t xml:space="preserve">   5800 Library and Science Labs for New School</t>
  </si>
  <si>
    <t xml:space="preserve">   5850 MOVE RELATED (ONE TIME EXPENSES)</t>
  </si>
  <si>
    <t xml:space="preserve">      5851 Legal and Accounting</t>
  </si>
  <si>
    <t xml:space="preserve">      5852 General</t>
  </si>
  <si>
    <t xml:space="preserve">      5853 Music Curriculum Setup</t>
  </si>
  <si>
    <t xml:space="preserve">      5854 PTA Setup</t>
  </si>
  <si>
    <t xml:space="preserve">   Total 5850 MOVE RELATED (ONE TIME EXPENSES)</t>
  </si>
  <si>
    <t>Total Expenses</t>
  </si>
  <si>
    <t>Net Operating Income</t>
  </si>
  <si>
    <t>Net Income</t>
  </si>
  <si>
    <t>Sunday, Jan 31, 2010 08:13:21 AM GMT-5 - Cash Basis</t>
  </si>
  <si>
    <t>Other/Corp Sponsorships</t>
  </si>
  <si>
    <t xml:space="preserve">NET FUNDRAISING </t>
  </si>
  <si>
    <t>Teaching Assistants</t>
  </si>
  <si>
    <t>School Year 2009-2010</t>
  </si>
  <si>
    <t>School Year 2010-2011</t>
  </si>
  <si>
    <t>Teacher</t>
  </si>
  <si>
    <t>Grade</t>
  </si>
  <si>
    <t>By Grade incl. all enrichments and recess</t>
  </si>
  <si>
    <t>AS OF JANUARY 21, 2010</t>
  </si>
  <si>
    <t>as of 1/21/10</t>
  </si>
  <si>
    <t>Weekly Hours</t>
  </si>
  <si>
    <t>Annual Hours</t>
  </si>
  <si>
    <t>Total Expense</t>
  </si>
  <si>
    <t>Cardinale</t>
  </si>
  <si>
    <t>Kindergarten</t>
  </si>
  <si>
    <t>Kozol</t>
  </si>
  <si>
    <t>Nahabedian, S.</t>
  </si>
  <si>
    <t>Klein</t>
  </si>
  <si>
    <t>Levi, N.</t>
  </si>
  <si>
    <t>Moy</t>
  </si>
  <si>
    <t>Science -K</t>
  </si>
  <si>
    <t>Nahabedian</t>
  </si>
  <si>
    <t>Art K</t>
  </si>
  <si>
    <t>Warner, D.</t>
  </si>
  <si>
    <t>Schliessman/Rodgers</t>
  </si>
  <si>
    <t>P.E. K</t>
  </si>
  <si>
    <t>Garces, C</t>
  </si>
  <si>
    <t>Chandonnet/Flint</t>
  </si>
  <si>
    <t>LESS ONE INCOMING KINDERGARTEN CLASS</t>
  </si>
  <si>
    <t>Leung</t>
  </si>
  <si>
    <t>First</t>
  </si>
  <si>
    <t>Vaughn</t>
  </si>
  <si>
    <t>Koenigsberg, J.</t>
  </si>
  <si>
    <t>Karlson</t>
  </si>
  <si>
    <t>Science - 1st</t>
  </si>
  <si>
    <t>Art 1st</t>
  </si>
  <si>
    <t>P.E. 1st</t>
  </si>
  <si>
    <t>Recess</t>
  </si>
  <si>
    <t>Skolnik</t>
  </si>
  <si>
    <t>Second</t>
  </si>
  <si>
    <t>Minakov</t>
  </si>
  <si>
    <t>Schnur, J.</t>
  </si>
  <si>
    <t>Goodman</t>
  </si>
  <si>
    <t>Science -2nd</t>
  </si>
  <si>
    <t>Art 2nd</t>
  </si>
  <si>
    <t>P.E. 2nd</t>
  </si>
  <si>
    <t>FOR 2011 Additional second grade class</t>
  </si>
  <si>
    <t>Roberts, L</t>
  </si>
  <si>
    <t>Kirksey/Floyd</t>
  </si>
  <si>
    <t>Third</t>
  </si>
  <si>
    <t>Hamill,A.</t>
  </si>
  <si>
    <t>Cutler</t>
  </si>
  <si>
    <t>Ross, E</t>
  </si>
  <si>
    <t xml:space="preserve"> Moy</t>
  </si>
  <si>
    <t>Science - 3rd</t>
  </si>
  <si>
    <t>Art - 3rd</t>
  </si>
  <si>
    <t>P.E. 3rd</t>
  </si>
  <si>
    <t>Levine</t>
  </si>
  <si>
    <t>Fourth</t>
  </si>
  <si>
    <t>Ross, L.</t>
  </si>
  <si>
    <t>Cohen</t>
  </si>
  <si>
    <t>Conway</t>
  </si>
  <si>
    <t>Science- 4th</t>
  </si>
  <si>
    <t>Art -4th</t>
  </si>
  <si>
    <t>P.E. 4th</t>
  </si>
  <si>
    <t>Roberts, L.</t>
  </si>
  <si>
    <t>Ide, C.</t>
  </si>
  <si>
    <t>Fischler</t>
  </si>
  <si>
    <t>Fifth ELA&amp;SS</t>
  </si>
  <si>
    <t>Payne, T</t>
  </si>
  <si>
    <t>Nemiroff</t>
  </si>
  <si>
    <t>Math - 5th</t>
  </si>
  <si>
    <t>Science- 5th</t>
  </si>
  <si>
    <t>Art -5th</t>
  </si>
  <si>
    <t>P.E. 5th</t>
  </si>
  <si>
    <t>Math - 6th</t>
  </si>
  <si>
    <t>Science- 6th</t>
  </si>
  <si>
    <t>Freund</t>
  </si>
  <si>
    <t>ELA - 6th</t>
  </si>
  <si>
    <t>Anderson Journal</t>
    <phoneticPr fontId="97" type="noConversion"/>
  </si>
  <si>
    <t>The Anderson News.net</t>
    <phoneticPr fontId="97" type="noConversion"/>
  </si>
  <si>
    <t>Anderson Handbook</t>
    <phoneticPr fontId="97" type="noConversion"/>
  </si>
  <si>
    <t>Music Fundraiser (08/09 for 09/10)</t>
    <phoneticPr fontId="97" type="noConversion"/>
  </si>
  <si>
    <t>Parent Donations for Move</t>
    <phoneticPr fontId="97" type="noConversion"/>
  </si>
  <si>
    <t>Interest Income (projected)</t>
    <phoneticPr fontId="97" type="noConversion"/>
  </si>
  <si>
    <t>Net Revenue Less Expenses</t>
    <phoneticPr fontId="97" type="noConversion"/>
  </si>
  <si>
    <t>Green Flea Revenues  - 2009/10</t>
    <phoneticPr fontId="97" type="noConversion"/>
  </si>
  <si>
    <t xml:space="preserve">Direct Appeal </t>
    <phoneticPr fontId="97" type="noConversion"/>
  </si>
  <si>
    <t>Teaching Assistants - inc. payroll exp.</t>
    <phoneticPr fontId="97" type="noConversion"/>
  </si>
  <si>
    <t xml:space="preserve">Teaching Assistants (all grades)   </t>
  </si>
  <si>
    <t>Also includes coverage for lunch and recess</t>
  </si>
  <si>
    <t>8th Grade Graduation &amp; picnic</t>
  </si>
  <si>
    <t>Projected</t>
  </si>
  <si>
    <t>School Day No.</t>
  </si>
  <si>
    <t>no school</t>
  </si>
  <si>
    <t>DOE CALENDAR FOR 2010-2011</t>
  </si>
  <si>
    <t>Teachers Assistants Hours</t>
  </si>
  <si>
    <t>School's out for summer!</t>
  </si>
  <si>
    <t>Pledge Drive as of March 31, 2010</t>
  </si>
  <si>
    <t>All other PTA fundraising as of 3/31</t>
  </si>
  <si>
    <t>Auction as of March 31, 2010</t>
  </si>
  <si>
    <t>Gross Fundraising as of 3/31</t>
  </si>
  <si>
    <t xml:space="preserve">Green Flea Revenue </t>
  </si>
  <si>
    <t>ADDITIONAL REVENUE NEEDED</t>
  </si>
  <si>
    <t>TBD</t>
  </si>
  <si>
    <t>Or alternatively, cuts to budget</t>
  </si>
  <si>
    <t>Online Auction/  Post sale</t>
    <phoneticPr fontId="97" type="noConversion"/>
  </si>
  <si>
    <t>Principals Discretionary Fund</t>
  </si>
  <si>
    <t>PTA Contigency Fund</t>
  </si>
  <si>
    <t>Administrative Costs</t>
  </si>
  <si>
    <t>EXPENSES</t>
  </si>
  <si>
    <t>ADDITIONAL FUNDS REQUIRED</t>
  </si>
  <si>
    <t>APPROVED</t>
  </si>
  <si>
    <t>REVENUE</t>
  </si>
  <si>
    <t>ADD BACK IN GREENFLEA FUNDS</t>
  </si>
  <si>
    <t>Music</t>
  </si>
  <si>
    <t>Projected thru 7/31/10</t>
  </si>
  <si>
    <t>Teachers' gift fund</t>
  </si>
  <si>
    <t>FRPY</t>
  </si>
  <si>
    <t>Fundraising Rev</t>
  </si>
  <si>
    <t>rounding not incl.</t>
  </si>
  <si>
    <t>Restr. Move funds</t>
  </si>
  <si>
    <t>Proj. not incl</t>
  </si>
  <si>
    <t>Total auction</t>
  </si>
  <si>
    <t>Shown in A.F.</t>
  </si>
  <si>
    <t>Adjustments</t>
  </si>
  <si>
    <t xml:space="preserve">PTA Treasury </t>
  </si>
  <si>
    <t>Budget Committee</t>
  </si>
  <si>
    <t>Reconciliation with Treasury Report - Revenues</t>
  </si>
  <si>
    <t xml:space="preserve">Interest Income </t>
  </si>
  <si>
    <t>Other Revenues</t>
  </si>
  <si>
    <t>Please note that the actual numbers for 2009-10 are on a cash basis and have not been audited and therefore maybe subject to adjustment.</t>
  </si>
  <si>
    <t xml:space="preserve"> Carry Over on Books from funds raised in previous years</t>
  </si>
  <si>
    <t xml:space="preserve"> other restricted funds</t>
  </si>
  <si>
    <t>Reconciliation with Treasury P&amp;L</t>
  </si>
  <si>
    <t>Exterminator</t>
  </si>
  <si>
    <t>Tech Support - Intern</t>
  </si>
  <si>
    <t>5th Grade - Symphony Space</t>
  </si>
  <si>
    <t>3rd Grade Bridge (School Bridge League)</t>
  </si>
  <si>
    <t>Chess K-2 Kids Chess Network</t>
  </si>
  <si>
    <t>Symphony Space 5th Grade</t>
  </si>
  <si>
    <t>5th Grade Trip  buses to Plimouth Plantation</t>
  </si>
  <si>
    <t>4th Grade Trip Buses to Plimouth Plantation</t>
  </si>
  <si>
    <t xml:space="preserve"> Carlos Oliviera and HipHop</t>
  </si>
  <si>
    <t xml:space="preserve"> AMS Electives/Clubs (6-8th)</t>
  </si>
  <si>
    <t>Assume 38 weeks @ $150 wkly</t>
  </si>
  <si>
    <t>Net Increase in budget</t>
  </si>
  <si>
    <t>quickbooks annual fee</t>
  </si>
  <si>
    <t>REVISED TOTAL FUNDS AVAIL.</t>
  </si>
  <si>
    <t>Other Cost of Fundraising</t>
  </si>
  <si>
    <t>DRAFT -SPENT/FUNDED TO DATE</t>
  </si>
  <si>
    <t>(1 ) AMS Bridge Elective</t>
  </si>
  <si>
    <t>(2) AMS Story Pirates Elective</t>
  </si>
  <si>
    <t>(3) K - Guggenheim Program</t>
  </si>
  <si>
    <t xml:space="preserve">Kindergarten - Guggenheim </t>
  </si>
  <si>
    <t>GRANT PAID TO VENDOR</t>
  </si>
  <si>
    <t>Direct Appeal Expenses</t>
  </si>
  <si>
    <t>Available to fund budget</t>
  </si>
  <si>
    <t>( $5,500 grant)</t>
  </si>
  <si>
    <t>($3,000 grant)</t>
  </si>
  <si>
    <t>Direct Appeal Actual</t>
  </si>
  <si>
    <t>ACTUAL  2009-10 REVENUE RAISED FOR     2010-11 EXPENSES</t>
  </si>
  <si>
    <t>NOTES</t>
  </si>
  <si>
    <t>suggest not breaking down next year.</t>
  </si>
  <si>
    <t xml:space="preserve">General Fundraising Exp. </t>
  </si>
  <si>
    <t>Auction</t>
  </si>
  <si>
    <t xml:space="preserve">Additional $ projected </t>
  </si>
  <si>
    <t>Additional estimated expenses</t>
  </si>
  <si>
    <t>ACTUAL RAISED ( TO DATE)  FOR NEXT YEAR + PROJECTED AMT TO BE RAISED</t>
  </si>
  <si>
    <t xml:space="preserve">  GRANTS RECEIVED OFFSETTING BUDGETED EXPENSES</t>
  </si>
  <si>
    <t>Technology Instructor (K-8)</t>
  </si>
  <si>
    <t>Artist in Residence</t>
  </si>
  <si>
    <t>Lower School Music  Instruction</t>
  </si>
  <si>
    <t>Library Science Specialist</t>
  </si>
  <si>
    <t>Supplies &amp; Instruments K-8</t>
  </si>
  <si>
    <t>New Parent Welcome Party K and AMS</t>
  </si>
  <si>
    <t xml:space="preserve">PTA website  </t>
  </si>
  <si>
    <t>Ongoing maintenance and fees</t>
  </si>
  <si>
    <t>WITS cafeteria chef</t>
  </si>
  <si>
    <t>4th grade buses to Plimoth</t>
  </si>
  <si>
    <t>5th Grade Buses  to Philadelphia</t>
  </si>
  <si>
    <t>"</t>
  </si>
  <si>
    <t>hiring freeze unlikely to be spent</t>
  </si>
  <si>
    <t>port-o-potties, water, equipment</t>
  </si>
  <si>
    <t>Gym Equipment, Replenishables</t>
  </si>
  <si>
    <t>8th Grade Graduation venue</t>
  </si>
  <si>
    <t xml:space="preserve">new line item </t>
  </si>
  <si>
    <t>TOTAL AMOUNT REQUESTED</t>
  </si>
  <si>
    <t>BASED ON CURRENT REVENUES</t>
  </si>
  <si>
    <t>DRAFT 2011-12 BUDGET</t>
  </si>
  <si>
    <t xml:space="preserve">Less capital expenditures </t>
  </si>
  <si>
    <t>Includes $8K to replace keyboards</t>
  </si>
  <si>
    <t xml:space="preserve"> Includes estimated gas/price increases.</t>
  </si>
  <si>
    <t>AMS Student Newspaper/Teams &amp; Meets</t>
  </si>
  <si>
    <t xml:space="preserve">Grants/Additional $ projected </t>
  </si>
  <si>
    <t>For chess coach to travel w/team</t>
  </si>
  <si>
    <t xml:space="preserve"> 3 grades at $900 each</t>
  </si>
  <si>
    <t>As per contract</t>
  </si>
  <si>
    <t xml:space="preserve">Staff Development - AUSSIE </t>
  </si>
  <si>
    <t>Technology development for teachers</t>
  </si>
  <si>
    <t>G&amp;T seminars, etc.</t>
  </si>
  <si>
    <t>K-8, every classroom</t>
  </si>
  <si>
    <t>Recess soccer, chess, other activities</t>
  </si>
  <si>
    <t>Self funding through ad sales</t>
  </si>
  <si>
    <t>Carry over from current year</t>
  </si>
  <si>
    <t>Items that MIGHT  not be funded by the PTA</t>
  </si>
  <si>
    <t>Gross amounts, includes online sales</t>
  </si>
  <si>
    <t>Projected to be received in Fall 2011</t>
  </si>
  <si>
    <t xml:space="preserve">  </t>
  </si>
  <si>
    <t>Hula hoops, balls, etc.</t>
  </si>
  <si>
    <t>Cost of biodegradeable trays</t>
  </si>
  <si>
    <t>Printing costs</t>
  </si>
  <si>
    <t>Other - to replace anticipated cuts in DOE funds</t>
  </si>
  <si>
    <t>Accountant fees/Internal Audit</t>
  </si>
  <si>
    <t>Requests for funding as of June 1, 2011</t>
  </si>
  <si>
    <t>According to the Chancellor's Regulations, the budget must be presented for a vote to the PTA at the June meeting prior to the school year for which the budget will be spent.  This is in advance of when the Principal receives her budget for the coming school year.  Therefore, this budget may be substantially revised as it is contingent upon DOE funding of the PS334 budget and revenue raised which may fluctuate greatly year to year.  Nothing in this budget should be construed as a guarantee of funding for any future years.</t>
  </si>
  <si>
    <t>The PTA traditionally raises money one year in advance of its expenditure so that we can budget according to the revenue available.  The Budget Committee currently has a policy of presenting a budget within the limits of avaialable revenue, with the goal of allocating all of the money raised without putting the PTA in a position of being in a deficit. At the end of any given fiscal year, there will be some funds that were raised but not spent.  This amount is not carried over into the next year's budget, it is instead kept as "retained earnings" and used to fund non-operating, non recurring expenses.  In the past this money has been used to pay for smart boards in every classroom and other items as requested by the administration.  This "surplus" money is not reflected on the budget being presented for a vote.</t>
  </si>
  <si>
    <t>Goal for year - $300-325K.  Amt. raised to date is as per Amy Davidson and not yet reflected on QB</t>
  </si>
  <si>
    <t xml:space="preserve">Green Flea Revenues   </t>
  </si>
  <si>
    <t>Class Photos</t>
  </si>
  <si>
    <t>Journal Ad sales</t>
  </si>
  <si>
    <t>PRELIMINARY DRAFT BUDGET FOR PS 334 SCHOOL YEAR 2011-12 AS OF JUNE 12,  2011 for vote at the June PTA meeting</t>
  </si>
  <si>
    <t xml:space="preserve"> Our share of $8K/Free Lunch will continue</t>
  </si>
  <si>
    <t>ACTUAL RAISED     (as of June 12)  FOR 2011-2012</t>
  </si>
  <si>
    <r>
      <t xml:space="preserve">ACTUAL RAISED TO DATE FOR NEXT YEAR + </t>
    </r>
    <r>
      <rPr>
        <b/>
        <i/>
        <sz val="8"/>
        <color indexed="60"/>
        <rFont val="Calibri"/>
        <family val="2"/>
        <scheme val="minor"/>
      </rPr>
      <t>PROJECTED AMT TO BE RAISED</t>
    </r>
  </si>
  <si>
    <t>SUBTOTAL ENRICHMENTS</t>
  </si>
  <si>
    <t>Budget Version:</t>
  </si>
  <si>
    <t>Budget Year:</t>
  </si>
  <si>
    <t>FY2011-12</t>
  </si>
  <si>
    <t>v1 - Final</t>
  </si>
  <si>
    <t>Budget Description:</t>
  </si>
  <si>
    <t>AMS Electives/Clubs (6-8th)</t>
  </si>
  <si>
    <t>Direct Appeal</t>
  </si>
  <si>
    <t xml:space="preserve"> SUBTOTAL STAFF</t>
  </si>
  <si>
    <t xml:space="preserve"> SUBTOTAL PROGRAM &amp; CLUB ACTIVITIES</t>
  </si>
  <si>
    <t xml:space="preserve"> SUBTOTAL SPORTS</t>
  </si>
  <si>
    <t>Gifts (non Holiday) **</t>
  </si>
  <si>
    <t>Guest speakers (for PTA mtgs) **</t>
  </si>
  <si>
    <t xml:space="preserve"> SUBTOTAL PARENT INVOLVEMENT</t>
  </si>
  <si>
    <t xml:space="preserve"> SUBTOTAL SUPPLIES &amp; EQUIPMENT</t>
  </si>
  <si>
    <t>TOTAL REVENUE AVAILABLE TO FUND BUDGET</t>
  </si>
  <si>
    <t>SUBTOTAL ADMINISTRATIVE</t>
  </si>
  <si>
    <t>NET REVENUE LESS EXPENSES</t>
  </si>
  <si>
    <t>Grants/Additional $ projected</t>
  </si>
  <si>
    <t>Budget Preparation Date:</t>
  </si>
  <si>
    <t>Approved by PTA 6/14/2011</t>
  </si>
  <si>
    <t>Proposed
Changes</t>
  </si>
  <si>
    <t>v2 - Draft 1</t>
  </si>
  <si>
    <t>For review by Budget Committee 9/8/2011</t>
  </si>
  <si>
    <t>Reduction in teaching time</t>
  </si>
  <si>
    <t>Actual raised in FY2010-11 as of June 12 for use in FY2011-12</t>
  </si>
  <si>
    <t>Amount requested for spending in FY2011-12</t>
  </si>
  <si>
    <t>$8K to replace keyboards funded by VH-1</t>
  </si>
  <si>
    <t>See attached request from school</t>
  </si>
  <si>
    <t>Actual raised in FY2010-11 as of July 19 for use in FY2011-12</t>
  </si>
  <si>
    <t>ALL REVENUE FIGURES REQUIRE TREASURER REVIEW</t>
  </si>
  <si>
    <t>FY2011-12 Budget - Proposed September 2011 Revision</t>
  </si>
  <si>
    <t>The Anderson School PTA</t>
  </si>
  <si>
    <t>Confirmation of 38K in grants</t>
  </si>
  <si>
    <t>Actual raised in FY2010-11 as of June 12 plus add'l anticipated funds, for use in 
FY2011-12</t>
  </si>
  <si>
    <t>Grants (projected FY2011-12 support)</t>
  </si>
  <si>
    <t>Amount approved for spending in FY2011-12</t>
  </si>
  <si>
    <t>Revised amount requested for spending in FY2011-12, for approval</t>
  </si>
  <si>
    <t>Confirmation of $38K in grants</t>
  </si>
  <si>
    <t>Notes on Proposed Changes</t>
  </si>
  <si>
    <t>Category</t>
  </si>
  <si>
    <t>Rev-External</t>
  </si>
  <si>
    <t>REVENUE BY CATEGORY</t>
  </si>
  <si>
    <t>Generated by PTA activities</t>
  </si>
  <si>
    <t>% of total</t>
  </si>
  <si>
    <t>Received from external sources</t>
  </si>
  <si>
    <t>TOTAL REVENUE BY CATEGORY</t>
  </si>
  <si>
    <t>Rev-PTA</t>
  </si>
  <si>
    <t>Exp-School</t>
  </si>
  <si>
    <t>EXPENSE BY CATEGORY</t>
  </si>
  <si>
    <t>TOTAL EXPENSE BY CATEGORY</t>
  </si>
  <si>
    <t>School-based programs</t>
  </si>
  <si>
    <t>PTA-based programs</t>
  </si>
  <si>
    <t>PTA administrative costs</t>
  </si>
  <si>
    <t>Exp-PTA Prog</t>
  </si>
  <si>
    <t>Exp-PTA Admin</t>
  </si>
  <si>
    <t>SUMMARY - REVENUES AND EXPENSE BY CATEGORY</t>
  </si>
  <si>
    <t>Guest speakers (for PTA mtgs)</t>
  </si>
  <si>
    <t>Gifts (non Holiday)</t>
  </si>
  <si>
    <t>Wellness Education</t>
  </si>
  <si>
    <t>Greening of School</t>
  </si>
  <si>
    <t>4th grade buses to Plymouth</t>
  </si>
  <si>
    <t>16% increase</t>
  </si>
  <si>
    <t>v2 - Final Draft</t>
  </si>
  <si>
    <t>Actual raised in FY2010-11 as of prelim. fiscal year end, for use in FY2011-12</t>
  </si>
  <si>
    <t>All FY2011-12 revenues figures are preliminary</t>
  </si>
  <si>
    <t xml:space="preserve">   pending preparation by the PTA Treasurers</t>
  </si>
  <si>
    <t xml:space="preserve">   of the final FY2010-11 financial statements.</t>
  </si>
  <si>
    <t>September 2011 Proposed Revision to the FY2011-12 PTA Budget</t>
  </si>
  <si>
    <t>Support for school fringe, per session, per diem</t>
  </si>
  <si>
    <t xml:space="preserve">   costs, and the Salvadori architecture program</t>
  </si>
  <si>
    <t xml:space="preserve">Original Budget </t>
  </si>
  <si>
    <t>(Approved June 2011)</t>
  </si>
  <si>
    <t>Revenues</t>
  </si>
  <si>
    <t>Expense</t>
  </si>
  <si>
    <t>Changes to Revenues</t>
  </si>
  <si>
    <t>Changes to Expenses</t>
  </si>
  <si>
    <t>Add'l School Support</t>
  </si>
  <si>
    <t>&lt;-- original planned surplus</t>
  </si>
  <si>
    <t>Total Revenue Changes</t>
  </si>
  <si>
    <t xml:space="preserve">Reduction in teaching time </t>
  </si>
  <si>
    <t>Fringe expense on PTA-supported salaries</t>
  </si>
  <si>
    <t>Per session payments to teachers</t>
  </si>
  <si>
    <t>Per diem payments to teachers</t>
  </si>
  <si>
    <t>Sub-total Add'l School Support</t>
  </si>
  <si>
    <t>Removal of keyboard replacement expense</t>
  </si>
  <si>
    <t>&lt;-- VH1 grant received to cover purchase</t>
  </si>
  <si>
    <t>Total Expense Changes</t>
  </si>
  <si>
    <t>Net Revenue Less Expenses</t>
  </si>
  <si>
    <t>Net Change to Budget (Change in Revenues + Change in Expenses)</t>
  </si>
  <si>
    <t>Revised Net Revenue Less Expenses</t>
  </si>
  <si>
    <t>Add'l Green Flea revenues</t>
  </si>
  <si>
    <t>Add'l grants</t>
  </si>
  <si>
    <t>All other updates</t>
  </si>
  <si>
    <t>&lt;-- PTA Budget remains in surplus</t>
  </si>
  <si>
    <t>&lt;-- reduction in cost already supported by PTA</t>
  </si>
  <si>
    <t>&lt;-- new expense for PTA</t>
  </si>
  <si>
    <t>For review by 
Gen Members 9/20/2011</t>
  </si>
  <si>
    <t>Support for Salvadori architecture program</t>
  </si>
  <si>
    <t>Offset by reduction in Spanish teaching</t>
  </si>
  <si>
    <t>Offset by contingency in original PTA budget</t>
  </si>
  <si>
    <t>Budget Summary (see attached full budget additional detail)</t>
  </si>
  <si>
    <t>The Budget Committee has recommended and the Executive Board has approved a revised FY2011-12 PTA budget, with changes as detailed below, for consideration by the PTA General Membership at the September 20, 2011, PTA meeting. The largest change included in the budget is an increase in PTA support for school activities, following a $350,000 or 12.5% reduction in the Department of Education's funding for the school.  The School Administration was able to reduce its costs by approximately $170,000 without eliminating any enrichments.  Further cost reductions would have resulted in elimination of enrichments such as music, arts, sciences and foreign languages, which the DoE considers as non-essential.  The additional PTA expense, after utilization of a $30,000 reserve for DOE cuts included in the original PTA budget, totals $129,500. Other changes to the budget include recognition of $67,878 in additional revenues, primarily from Green Flea income and additional grants, as well as $8,000 in expense reduction in recognition of an outside grant received to fund the planned purchase of new music keyboards. The PTA budget will remain in surplus after these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</si>
</sst>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
    <numFmt numFmtId="166" formatCode="&quot;$&quot;#,##0"/>
    <numFmt numFmtId="167" formatCode="_(* #,##0_);_(* \(#,##0\);_(* &quot;-&quot;??_);_(@_)"/>
    <numFmt numFmtId="168" formatCode="_(* #,##0.0_);_(* \(#,##0.0\);_(* &quot;-&quot;??_);_(@_)"/>
    <numFmt numFmtId="169" formatCode="[$-F800]dddd\,\ mmmm\ dd\,\ yyyy"/>
    <numFmt numFmtId="170" formatCode="&quot;$&quot;* #,##0.00"/>
    <numFmt numFmtId="171" formatCode="0.0"/>
    <numFmt numFmtId="172" formatCode="0.0%"/>
  </numFmts>
  <fonts count="250">
    <font>
      <sz val="11"/>
      <color theme="1"/>
      <name val="Calibri"/>
      <family val="2"/>
      <scheme val="minor"/>
    </font>
    <font>
      <sz val="12"/>
      <name val="Bell MT"/>
      <family val="1"/>
    </font>
    <font>
      <i/>
      <sz val="12"/>
      <name val="Bell MT"/>
      <family val="1"/>
    </font>
    <font>
      <b/>
      <sz val="12"/>
      <name val="Bell MT"/>
      <family val="1"/>
    </font>
    <font>
      <i/>
      <sz val="11"/>
      <name val="Bell MT"/>
      <family val="1"/>
    </font>
    <font>
      <sz val="8"/>
      <color indexed="18"/>
      <name val="Arial"/>
      <family val="2"/>
    </font>
    <font>
      <b/>
      <sz val="8"/>
      <color indexed="18"/>
      <name val="Arial"/>
      <family val="2"/>
    </font>
    <font>
      <b/>
      <i/>
      <sz val="11"/>
      <name val="Bell MT"/>
      <family val="1"/>
    </font>
    <font>
      <b/>
      <sz val="12"/>
      <name val="Arial"/>
      <family val="2"/>
    </font>
    <font>
      <sz val="10"/>
      <name val="Arial"/>
      <family val="2"/>
    </font>
    <font>
      <b/>
      <sz val="10"/>
      <name val="Arial"/>
      <family val="2"/>
    </font>
    <font>
      <sz val="10"/>
      <color indexed="10"/>
      <name val="Arial"/>
      <family val="2"/>
    </font>
    <font>
      <b/>
      <sz val="10"/>
      <color indexed="10"/>
      <name val="Arial"/>
      <family val="2"/>
    </font>
    <font>
      <i/>
      <sz val="10"/>
      <name val="Arial"/>
      <family val="2"/>
    </font>
    <font>
      <sz val="14"/>
      <name val="Arial"/>
      <family val="2"/>
    </font>
    <font>
      <sz val="14"/>
      <color indexed="10"/>
      <name val="Arial"/>
      <family val="2"/>
    </font>
    <font>
      <b/>
      <sz val="14"/>
      <name val="Arial"/>
      <family val="2"/>
    </font>
    <font>
      <sz val="10"/>
      <color indexed="63"/>
      <name val="Segoe UI"/>
      <family val="2"/>
    </font>
    <font>
      <b/>
      <sz val="10"/>
      <color indexed="63"/>
      <name val="Segoe UI"/>
      <family val="2"/>
    </font>
    <font>
      <u/>
      <sz val="10"/>
      <color indexed="63"/>
      <name val="Segoe UI"/>
      <family val="2"/>
    </font>
    <font>
      <i/>
      <sz val="10"/>
      <color indexed="63"/>
      <name val="Segoe UI"/>
      <family val="2"/>
    </font>
    <font>
      <b/>
      <i/>
      <sz val="10"/>
      <color indexed="63"/>
      <name val="Segoe UI"/>
      <family val="2"/>
    </font>
    <font>
      <sz val="9"/>
      <name val="Arial"/>
      <family val="2"/>
    </font>
    <font>
      <b/>
      <sz val="10"/>
      <name val="Verdana"/>
      <family val="2"/>
    </font>
    <font>
      <sz val="10"/>
      <name val="Verdana"/>
      <family val="2"/>
    </font>
    <font>
      <b/>
      <sz val="14"/>
      <name val="Arial"/>
      <family val="2"/>
    </font>
    <font>
      <b/>
      <sz val="10"/>
      <name val="Arial"/>
      <family val="2"/>
    </font>
    <font>
      <b/>
      <sz val="9"/>
      <name val="Arial"/>
      <family val="2"/>
    </font>
    <font>
      <b/>
      <sz val="8"/>
      <name val="Arial"/>
      <family val="2"/>
    </font>
    <font>
      <sz val="8"/>
      <name val="Arial"/>
      <family val="2"/>
    </font>
    <font>
      <b/>
      <sz val="11"/>
      <name val="Arial"/>
      <family val="2"/>
    </font>
    <font>
      <sz val="11"/>
      <name val="Bell MT"/>
      <family val="1"/>
    </font>
    <font>
      <sz val="11"/>
      <color indexed="8"/>
      <name val="Calibri"/>
      <family val="2"/>
    </font>
    <font>
      <b/>
      <sz val="11"/>
      <color indexed="8"/>
      <name val="Calibri"/>
      <family val="2"/>
    </font>
    <font>
      <sz val="10"/>
      <color indexed="30"/>
      <name val="Biondi"/>
    </font>
    <font>
      <u/>
      <sz val="10"/>
      <color indexed="30"/>
      <name val="Biondi"/>
    </font>
    <font>
      <sz val="11"/>
      <color indexed="56"/>
      <name val="Tahoma"/>
      <family val="2"/>
    </font>
    <font>
      <b/>
      <sz val="14"/>
      <color indexed="8"/>
      <name val="Calibri"/>
      <family val="2"/>
    </font>
    <font>
      <sz val="10"/>
      <color indexed="63"/>
      <name val="Segoe UI"/>
      <family val="2"/>
    </font>
    <font>
      <b/>
      <u/>
      <sz val="11"/>
      <color indexed="8"/>
      <name val="Calibri"/>
      <family val="2"/>
    </font>
    <font>
      <b/>
      <sz val="11"/>
      <color indexed="8"/>
      <name val="Calibri"/>
      <family val="2"/>
    </font>
    <font>
      <sz val="11"/>
      <color indexed="8"/>
      <name val="Calibri"/>
      <family val="2"/>
    </font>
    <font>
      <u/>
      <sz val="10"/>
      <color indexed="63"/>
      <name val="Segoe UI"/>
      <family val="2"/>
    </font>
    <font>
      <b/>
      <sz val="10"/>
      <color indexed="63"/>
      <name val="Segoe UI"/>
      <family val="2"/>
    </font>
    <font>
      <b/>
      <sz val="16"/>
      <name val="Cambria"/>
      <family val="1"/>
    </font>
    <font>
      <sz val="12"/>
      <name val="Cambria"/>
      <family val="1"/>
    </font>
    <font>
      <b/>
      <sz val="12"/>
      <name val="Cambria"/>
      <family val="1"/>
    </font>
    <font>
      <sz val="12"/>
      <color indexed="56"/>
      <name val="Cambria"/>
      <family val="1"/>
    </font>
    <font>
      <i/>
      <sz val="12"/>
      <color indexed="56"/>
      <name val="Bell MT"/>
      <family val="1"/>
    </font>
    <font>
      <b/>
      <sz val="12"/>
      <color indexed="10"/>
      <name val="Cambria"/>
      <family val="1"/>
    </font>
    <font>
      <i/>
      <sz val="12"/>
      <name val="Cambria"/>
      <family val="1"/>
    </font>
    <font>
      <sz val="12"/>
      <color indexed="10"/>
      <name val="Cambria"/>
      <family val="1"/>
    </font>
    <font>
      <b/>
      <sz val="12"/>
      <color indexed="63"/>
      <name val="Cambria"/>
      <family val="1"/>
    </font>
    <font>
      <b/>
      <sz val="12"/>
      <color indexed="30"/>
      <name val="Cambria"/>
      <family val="1"/>
    </font>
    <font>
      <b/>
      <i/>
      <sz val="12"/>
      <name val="Cambria"/>
      <family val="1"/>
    </font>
    <font>
      <b/>
      <sz val="12"/>
      <color indexed="56"/>
      <name val="Cambria"/>
      <family val="1"/>
    </font>
    <font>
      <i/>
      <sz val="12"/>
      <color indexed="10"/>
      <name val="Cambria"/>
      <family val="1"/>
    </font>
    <font>
      <b/>
      <sz val="11"/>
      <color indexed="63"/>
      <name val="Cambria"/>
      <family val="1"/>
    </font>
    <font>
      <sz val="12"/>
      <color indexed="23"/>
      <name val="Cambria"/>
      <family val="1"/>
    </font>
    <font>
      <sz val="11"/>
      <color indexed="23"/>
      <name val="Cambria"/>
      <family val="1"/>
    </font>
    <font>
      <b/>
      <sz val="11"/>
      <color indexed="23"/>
      <name val="Cambria"/>
      <family val="1"/>
    </font>
    <font>
      <b/>
      <sz val="12"/>
      <color indexed="23"/>
      <name val="Cambria"/>
      <family val="1"/>
    </font>
    <font>
      <b/>
      <i/>
      <sz val="11"/>
      <color indexed="23"/>
      <name val="Cambria"/>
      <family val="1"/>
    </font>
    <font>
      <sz val="10"/>
      <color indexed="63"/>
      <name val="Biondi"/>
    </font>
    <font>
      <b/>
      <sz val="10"/>
      <color indexed="63"/>
      <name val="Biondi"/>
    </font>
    <font>
      <b/>
      <sz val="11"/>
      <color indexed="28"/>
      <name val="Berylium"/>
    </font>
    <font>
      <sz val="12"/>
      <color indexed="30"/>
      <name val="Bell MT"/>
      <family val="1"/>
    </font>
    <font>
      <sz val="11"/>
      <color indexed="30"/>
      <name val="Berylium"/>
    </font>
    <font>
      <sz val="10"/>
      <color indexed="30"/>
      <name val="Arial"/>
      <family val="2"/>
    </font>
    <font>
      <i/>
      <sz val="12"/>
      <color indexed="30"/>
      <name val="Bell MT"/>
      <family val="1"/>
    </font>
    <font>
      <i/>
      <sz val="11"/>
      <color indexed="30"/>
      <name val="Berylium"/>
    </font>
    <font>
      <i/>
      <sz val="10"/>
      <color indexed="30"/>
      <name val="Arial"/>
      <family val="2"/>
    </font>
    <font>
      <sz val="11"/>
      <color indexed="28"/>
      <name val="Berylium"/>
    </font>
    <font>
      <i/>
      <sz val="12"/>
      <color indexed="56"/>
      <name val="Cambria"/>
      <family val="1"/>
    </font>
    <font>
      <i/>
      <sz val="11"/>
      <color indexed="56"/>
      <name val="Bell MT"/>
      <family val="1"/>
    </font>
    <font>
      <b/>
      <sz val="11"/>
      <color indexed="10"/>
      <name val="Cambria"/>
      <family val="1"/>
    </font>
    <font>
      <sz val="10"/>
      <color indexed="10"/>
      <name val="Biondi"/>
    </font>
    <font>
      <b/>
      <i/>
      <sz val="10"/>
      <color indexed="36"/>
      <name val="Cambria"/>
      <family val="1"/>
    </font>
    <font>
      <b/>
      <i/>
      <sz val="11"/>
      <color indexed="36"/>
      <name val="Cambria"/>
      <family val="1"/>
    </font>
    <font>
      <i/>
      <sz val="10"/>
      <color indexed="36"/>
      <name val="Biondi"/>
    </font>
    <font>
      <b/>
      <i/>
      <sz val="10"/>
      <color indexed="36"/>
      <name val="Biondi"/>
    </font>
    <font>
      <b/>
      <i/>
      <sz val="12"/>
      <color indexed="36"/>
      <name val="Cambria"/>
      <family val="1"/>
    </font>
    <font>
      <sz val="12"/>
      <color indexed="17"/>
      <name val="Biondi"/>
    </font>
    <font>
      <b/>
      <sz val="12"/>
      <color indexed="63"/>
      <name val="Biondi"/>
    </font>
    <font>
      <b/>
      <sz val="12"/>
      <color indexed="10"/>
      <name val="Biondi"/>
    </font>
    <font>
      <b/>
      <i/>
      <sz val="12"/>
      <color indexed="36"/>
      <name val="Biondi"/>
    </font>
    <font>
      <b/>
      <sz val="11"/>
      <color indexed="30"/>
      <name val="Biondi"/>
    </font>
    <font>
      <b/>
      <sz val="12"/>
      <color indexed="60"/>
      <name val="Cambria"/>
      <family val="1"/>
    </font>
    <font>
      <sz val="10"/>
      <color indexed="60"/>
      <name val="Biondi"/>
    </font>
    <font>
      <sz val="12"/>
      <color indexed="60"/>
      <name val="Cambria"/>
      <family val="1"/>
    </font>
    <font>
      <sz val="11"/>
      <color indexed="60"/>
      <name val="Cambria"/>
      <family val="1"/>
    </font>
    <font>
      <i/>
      <sz val="10"/>
      <color indexed="60"/>
      <name val="Biondi"/>
    </font>
    <font>
      <b/>
      <sz val="11"/>
      <color indexed="60"/>
      <name val="Biondi"/>
    </font>
    <font>
      <b/>
      <sz val="14"/>
      <color indexed="30"/>
      <name val="Cambria"/>
      <family val="1"/>
    </font>
    <font>
      <sz val="11"/>
      <name val="Cambria"/>
      <family val="1"/>
    </font>
    <font>
      <b/>
      <u/>
      <sz val="11"/>
      <color indexed="63"/>
      <name val="Cambria"/>
      <family val="1"/>
    </font>
    <font>
      <b/>
      <u val="double"/>
      <sz val="11"/>
      <color indexed="10"/>
      <name val="Cambria"/>
      <family val="1"/>
    </font>
    <font>
      <sz val="8"/>
      <name val="Verdana"/>
      <family val="2"/>
    </font>
    <font>
      <b/>
      <sz val="18"/>
      <name val="Cambria"/>
      <family val="1"/>
    </font>
    <font>
      <b/>
      <sz val="10"/>
      <color indexed="30"/>
      <name val="Biondi"/>
    </font>
    <font>
      <b/>
      <sz val="8"/>
      <color indexed="30"/>
      <name val="Biondi"/>
    </font>
    <font>
      <b/>
      <sz val="8"/>
      <color indexed="17"/>
      <name val="Biondi"/>
    </font>
    <font>
      <sz val="10"/>
      <name val="Cambria"/>
      <family val="1"/>
    </font>
    <font>
      <b/>
      <sz val="10"/>
      <name val="Verdana"/>
      <family val="2"/>
    </font>
    <font>
      <sz val="10"/>
      <name val="Verdana"/>
      <family val="2"/>
    </font>
    <font>
      <b/>
      <sz val="8"/>
      <color indexed="23"/>
      <name val="Biondi"/>
    </font>
    <font>
      <b/>
      <sz val="10"/>
      <color indexed="23"/>
      <name val="Biondi"/>
    </font>
    <font>
      <i/>
      <sz val="9"/>
      <color indexed="56"/>
      <name val="Cambria"/>
      <family val="1"/>
    </font>
    <font>
      <b/>
      <i/>
      <sz val="9"/>
      <name val="Bell MT"/>
      <family val="1"/>
    </font>
    <font>
      <i/>
      <sz val="9"/>
      <name val="Bell MT"/>
      <family val="1"/>
    </font>
    <font>
      <b/>
      <sz val="11"/>
      <color indexed="8"/>
      <name val="Calibri"/>
      <family val="2"/>
    </font>
    <font>
      <sz val="10"/>
      <color indexed="30"/>
      <name val="Biondi"/>
    </font>
    <font>
      <b/>
      <sz val="12"/>
      <color indexed="30"/>
      <name val="Cambria"/>
      <family val="1"/>
    </font>
    <font>
      <sz val="12"/>
      <color indexed="30"/>
      <name val="Cambria"/>
      <family val="1"/>
    </font>
    <font>
      <u/>
      <sz val="12"/>
      <color indexed="30"/>
      <name val="Cambria"/>
      <family val="1"/>
    </font>
    <font>
      <sz val="12"/>
      <color indexed="23"/>
      <name val="Cambria"/>
      <family val="1"/>
    </font>
    <font>
      <u/>
      <sz val="12"/>
      <color indexed="23"/>
      <name val="Cambria"/>
      <family val="1"/>
    </font>
    <font>
      <b/>
      <sz val="12"/>
      <color indexed="23"/>
      <name val="Cambria"/>
      <family val="1"/>
    </font>
    <font>
      <i/>
      <sz val="12"/>
      <color indexed="30"/>
      <name val="Cambria"/>
      <family val="1"/>
    </font>
    <font>
      <sz val="10"/>
      <color indexed="17"/>
      <name val="Biondi"/>
    </font>
    <font>
      <i/>
      <sz val="10"/>
      <color indexed="17"/>
      <name val="Biondi"/>
    </font>
    <font>
      <u val="doubleAccounting"/>
      <sz val="10"/>
      <color indexed="17"/>
      <name val="Biondi"/>
    </font>
    <font>
      <b/>
      <sz val="10"/>
      <color indexed="17"/>
      <name val="Biondi"/>
    </font>
    <font>
      <sz val="12"/>
      <color indexed="63"/>
      <name val="Times New Roman"/>
      <family val="1"/>
    </font>
    <font>
      <u/>
      <sz val="11"/>
      <color indexed="8"/>
      <name val="Calibri"/>
      <family val="2"/>
    </font>
    <font>
      <i/>
      <sz val="12"/>
      <color indexed="23"/>
      <name val="Cambria"/>
      <family val="1"/>
    </font>
    <font>
      <b/>
      <sz val="11"/>
      <color indexed="8"/>
      <name val="Cambria"/>
      <family val="1"/>
    </font>
    <font>
      <sz val="10"/>
      <color indexed="8"/>
      <name val="Biondi"/>
    </font>
    <font>
      <i/>
      <sz val="10"/>
      <color indexed="8"/>
      <name val="Biondi"/>
    </font>
    <font>
      <u/>
      <sz val="10"/>
      <color indexed="8"/>
      <name val="Biondi"/>
    </font>
    <font>
      <b/>
      <sz val="12"/>
      <color indexed="8"/>
      <name val="Cambria"/>
      <family val="1"/>
    </font>
    <font>
      <b/>
      <sz val="10"/>
      <color indexed="8"/>
      <name val="Cambria"/>
      <family val="1"/>
    </font>
    <font>
      <sz val="10"/>
      <color indexed="8"/>
      <name val="Calibri"/>
      <family val="2"/>
    </font>
    <font>
      <b/>
      <sz val="10"/>
      <color indexed="10"/>
      <name val="Verdana"/>
      <family val="2"/>
    </font>
    <font>
      <sz val="10"/>
      <color indexed="10"/>
      <name val="Verdana"/>
      <family val="2"/>
    </font>
    <font>
      <i/>
      <u/>
      <sz val="10"/>
      <color indexed="17"/>
      <name val="Biondi"/>
    </font>
    <font>
      <b/>
      <sz val="9"/>
      <color indexed="17"/>
      <name val="Bell MT"/>
      <family val="1"/>
    </font>
    <font>
      <b/>
      <i/>
      <sz val="9"/>
      <color indexed="17"/>
      <name val="Bell MT"/>
      <family val="1"/>
    </font>
    <font>
      <b/>
      <sz val="11"/>
      <color indexed="17"/>
      <name val="Bell MT"/>
      <family val="1"/>
    </font>
    <font>
      <b/>
      <sz val="8"/>
      <color indexed="30"/>
      <name val="Biondi"/>
    </font>
    <font>
      <i/>
      <sz val="11"/>
      <color indexed="50"/>
      <name val="Cambria"/>
      <family val="1"/>
    </font>
    <font>
      <b/>
      <sz val="8"/>
      <color indexed="23"/>
      <name val="Biondi"/>
    </font>
    <font>
      <b/>
      <sz val="11"/>
      <name val="Bell MT"/>
      <family val="1"/>
    </font>
    <font>
      <b/>
      <i/>
      <sz val="12"/>
      <name val="Bell MT"/>
      <family val="1"/>
    </font>
    <font>
      <sz val="20"/>
      <name val="Bell MT"/>
      <family val="1"/>
    </font>
    <font>
      <u val="singleAccounting"/>
      <sz val="10"/>
      <color indexed="30"/>
      <name val="Biondi"/>
    </font>
    <font>
      <sz val="11"/>
      <color theme="1"/>
      <name val="Calibri"/>
      <family val="2"/>
      <scheme val="minor"/>
    </font>
    <font>
      <sz val="11"/>
      <color rgb="FFFF0000"/>
      <name val="Calibri"/>
      <family val="2"/>
      <scheme val="minor"/>
    </font>
    <font>
      <b/>
      <i/>
      <sz val="9"/>
      <color theme="6" tint="-0.499984740745262"/>
      <name val="Bell MT"/>
      <family val="1"/>
    </font>
    <font>
      <sz val="11"/>
      <color rgb="FFC00000"/>
      <name val="Calibri"/>
      <family val="2"/>
      <scheme val="minor"/>
    </font>
    <font>
      <u/>
      <sz val="11"/>
      <color rgb="FFC00000"/>
      <name val="Calibri"/>
      <family val="2"/>
      <scheme val="minor"/>
    </font>
    <font>
      <sz val="11"/>
      <color theme="7" tint="0.59999389629810485"/>
      <name val="Calibri"/>
      <family val="2"/>
      <scheme val="minor"/>
    </font>
    <font>
      <sz val="11"/>
      <color theme="9" tint="0.79998168889431442"/>
      <name val="Calibri"/>
      <family val="2"/>
      <scheme val="minor"/>
    </font>
    <font>
      <i/>
      <sz val="11"/>
      <color rgb="FF7030A0"/>
      <name val="Calibri"/>
      <family val="2"/>
      <scheme val="minor"/>
    </font>
    <font>
      <b/>
      <sz val="12"/>
      <color rgb="FF00B050"/>
      <name val="Calibri"/>
      <family val="2"/>
      <scheme val="minor"/>
    </font>
    <font>
      <i/>
      <sz val="11"/>
      <color rgb="FFC00000"/>
      <name val="Calibri"/>
      <family val="2"/>
      <scheme val="minor"/>
    </font>
    <font>
      <sz val="11"/>
      <color theme="9" tint="-0.499984740745262"/>
      <name val="Calibri"/>
      <family val="2"/>
      <scheme val="minor"/>
    </font>
    <font>
      <sz val="8"/>
      <color rgb="FFC00000"/>
      <name val="Calibri"/>
      <family val="2"/>
      <scheme val="minor"/>
    </font>
    <font>
      <i/>
      <sz val="11"/>
      <color theme="1"/>
      <name val="Calibri"/>
      <family val="2"/>
      <scheme val="minor"/>
    </font>
    <font>
      <sz val="8"/>
      <color indexed="18"/>
      <name val="Calibri"/>
      <family val="2"/>
      <scheme val="minor"/>
    </font>
    <font>
      <b/>
      <sz val="10"/>
      <name val="Calibri"/>
      <family val="2"/>
      <scheme val="minor"/>
    </font>
    <font>
      <sz val="12"/>
      <name val="Calibri"/>
      <family val="2"/>
      <scheme val="minor"/>
    </font>
    <font>
      <b/>
      <sz val="18"/>
      <name val="Calibri"/>
      <family val="2"/>
      <scheme val="minor"/>
    </font>
    <font>
      <b/>
      <sz val="8"/>
      <color indexed="17"/>
      <name val="Calibri"/>
      <family val="2"/>
      <scheme val="minor"/>
    </font>
    <font>
      <i/>
      <sz val="8"/>
      <name val="Calibri"/>
      <family val="2"/>
      <scheme val="minor"/>
    </font>
    <font>
      <sz val="8"/>
      <color theme="0"/>
      <name val="Calibri"/>
      <family val="2"/>
      <scheme val="minor"/>
    </font>
    <font>
      <sz val="8"/>
      <color theme="9" tint="-0.499984740745262"/>
      <name val="Calibri"/>
      <family val="2"/>
      <scheme val="minor"/>
    </font>
    <font>
      <b/>
      <i/>
      <sz val="8"/>
      <color indexed="60"/>
      <name val="Calibri"/>
      <family val="2"/>
      <scheme val="minor"/>
    </font>
    <font>
      <b/>
      <sz val="12"/>
      <name val="Calibri"/>
      <family val="2"/>
      <scheme val="minor"/>
    </font>
    <font>
      <sz val="10"/>
      <color indexed="17"/>
      <name val="Calibri"/>
      <family val="2"/>
      <scheme val="minor"/>
    </font>
    <font>
      <b/>
      <i/>
      <sz val="12"/>
      <name val="Calibri"/>
      <family val="2"/>
      <scheme val="minor"/>
    </font>
    <font>
      <b/>
      <sz val="12"/>
      <color theme="0"/>
      <name val="Calibri"/>
      <family val="2"/>
      <scheme val="minor"/>
    </font>
    <font>
      <b/>
      <sz val="12"/>
      <color theme="9" tint="-0.499984740745262"/>
      <name val="Calibri"/>
      <family val="2"/>
      <scheme val="minor"/>
    </font>
    <font>
      <i/>
      <sz val="12"/>
      <color rgb="FF7030A0"/>
      <name val="Calibri"/>
      <family val="2"/>
      <scheme val="minor"/>
    </font>
    <font>
      <b/>
      <i/>
      <sz val="12"/>
      <color rgb="FF7030A0"/>
      <name val="Calibri"/>
      <family val="2"/>
      <scheme val="minor"/>
    </font>
    <font>
      <i/>
      <sz val="10"/>
      <color rgb="FF7030A0"/>
      <name val="Calibri"/>
      <family val="2"/>
      <scheme val="minor"/>
    </font>
    <font>
      <b/>
      <i/>
      <sz val="12"/>
      <color theme="0"/>
      <name val="Calibri"/>
      <family val="2"/>
      <scheme val="minor"/>
    </font>
    <font>
      <sz val="10"/>
      <name val="Calibri"/>
      <family val="2"/>
      <scheme val="minor"/>
    </font>
    <font>
      <b/>
      <i/>
      <u/>
      <sz val="12"/>
      <color rgb="FF7030A0"/>
      <name val="Calibri"/>
      <family val="2"/>
      <scheme val="minor"/>
    </font>
    <font>
      <sz val="11"/>
      <name val="Calibri"/>
      <family val="2"/>
      <scheme val="minor"/>
    </font>
    <font>
      <b/>
      <sz val="10"/>
      <color indexed="17"/>
      <name val="Calibri"/>
      <family val="2"/>
      <scheme val="minor"/>
    </font>
    <font>
      <i/>
      <sz val="12"/>
      <name val="Calibri"/>
      <family val="2"/>
      <scheme val="minor"/>
    </font>
    <font>
      <b/>
      <sz val="11"/>
      <color theme="0" tint="-0.499984740745262"/>
      <name val="Calibri"/>
      <family val="2"/>
      <scheme val="minor"/>
    </font>
    <font>
      <b/>
      <sz val="12"/>
      <color theme="0" tint="-0.499984740745262"/>
      <name val="Calibri"/>
      <family val="2"/>
      <scheme val="minor"/>
    </font>
    <font>
      <b/>
      <u/>
      <sz val="10"/>
      <color theme="0" tint="-0.499984740745262"/>
      <name val="Calibri"/>
      <family val="2"/>
      <scheme val="minor"/>
    </font>
    <font>
      <sz val="12"/>
      <color theme="0"/>
      <name val="Calibri"/>
      <family val="2"/>
      <scheme val="minor"/>
    </font>
    <font>
      <sz val="12"/>
      <color theme="9" tint="-0.499984740745262"/>
      <name val="Calibri"/>
      <family val="2"/>
      <scheme val="minor"/>
    </font>
    <font>
      <sz val="12"/>
      <color theme="0" tint="-0.499984740745262"/>
      <name val="Calibri"/>
      <family val="2"/>
      <scheme val="minor"/>
    </font>
    <font>
      <sz val="10"/>
      <color theme="0" tint="-0.499984740745262"/>
      <name val="Calibri"/>
      <family val="2"/>
      <scheme val="minor"/>
    </font>
    <font>
      <b/>
      <sz val="12"/>
      <color rgb="FFFF0000"/>
      <name val="Calibri"/>
      <family val="2"/>
      <scheme val="minor"/>
    </font>
    <font>
      <sz val="10"/>
      <color indexed="10"/>
      <name val="Calibri"/>
      <family val="2"/>
      <scheme val="minor"/>
    </font>
    <font>
      <i/>
      <sz val="8"/>
      <color rgb="FF7030A0"/>
      <name val="Calibri"/>
      <family val="2"/>
      <scheme val="minor"/>
    </font>
    <font>
      <i/>
      <sz val="10"/>
      <color indexed="30"/>
      <name val="Calibri"/>
      <family val="2"/>
      <scheme val="minor"/>
    </font>
    <font>
      <sz val="12"/>
      <color rgb="FFFF0000"/>
      <name val="Calibri"/>
      <family val="2"/>
      <scheme val="minor"/>
    </font>
    <font>
      <b/>
      <u val="double"/>
      <sz val="12"/>
      <color indexed="10"/>
      <name val="Calibri"/>
      <family val="2"/>
      <scheme val="minor"/>
    </font>
    <font>
      <b/>
      <u val="double"/>
      <sz val="12"/>
      <color theme="9" tint="0.79998168889431442"/>
      <name val="Calibri"/>
      <family val="2"/>
      <scheme val="minor"/>
    </font>
    <font>
      <b/>
      <u val="double"/>
      <sz val="12"/>
      <color theme="0"/>
      <name val="Calibri"/>
      <family val="2"/>
      <scheme val="minor"/>
    </font>
    <font>
      <b/>
      <u val="double"/>
      <sz val="12"/>
      <color rgb="FFFF0000"/>
      <name val="Calibri"/>
      <family val="2"/>
      <scheme val="minor"/>
    </font>
    <font>
      <sz val="10"/>
      <color rgb="FFFF0000"/>
      <name val="Calibri"/>
      <family val="2"/>
      <scheme val="minor"/>
    </font>
    <font>
      <sz val="10"/>
      <color theme="0"/>
      <name val="Calibri"/>
      <family val="2"/>
      <scheme val="minor"/>
    </font>
    <font>
      <sz val="10"/>
      <color theme="9" tint="-0.499984740745262"/>
      <name val="Calibri"/>
      <family val="2"/>
      <scheme val="minor"/>
    </font>
    <font>
      <b/>
      <sz val="14"/>
      <name val="Calibri"/>
      <family val="2"/>
      <scheme val="minor"/>
    </font>
    <font>
      <b/>
      <u/>
      <sz val="14"/>
      <color indexed="17"/>
      <name val="Calibri"/>
      <family val="2"/>
      <scheme val="minor"/>
    </font>
    <font>
      <b/>
      <u/>
      <sz val="14"/>
      <color theme="9" tint="0.79998168889431442"/>
      <name val="Calibri"/>
      <family val="2"/>
      <scheme val="minor"/>
    </font>
    <font>
      <b/>
      <u/>
      <sz val="14"/>
      <color theme="0"/>
      <name val="Calibri"/>
      <family val="2"/>
      <scheme val="minor"/>
    </font>
    <font>
      <b/>
      <u/>
      <sz val="14"/>
      <color theme="9" tint="-0.499984740745262"/>
      <name val="Calibri"/>
      <family val="2"/>
      <scheme val="minor"/>
    </font>
    <font>
      <b/>
      <u/>
      <sz val="10"/>
      <color indexed="30"/>
      <name val="Calibri"/>
      <family val="2"/>
      <scheme val="minor"/>
    </font>
    <font>
      <b/>
      <sz val="14"/>
      <color rgb="FF00B050"/>
      <name val="Calibri"/>
      <family val="2"/>
      <scheme val="minor"/>
    </font>
    <font>
      <b/>
      <u/>
      <sz val="11"/>
      <color rgb="FF00B050"/>
      <name val="Calibri"/>
      <family val="2"/>
      <scheme val="minor"/>
    </font>
    <font>
      <b/>
      <u/>
      <sz val="10"/>
      <color rgb="FF00B050"/>
      <name val="Calibri"/>
      <family val="2"/>
      <scheme val="minor"/>
    </font>
    <font>
      <sz val="18"/>
      <color indexed="18"/>
      <name val="Calibri"/>
      <family val="2"/>
      <scheme val="minor"/>
    </font>
    <font>
      <b/>
      <sz val="8"/>
      <color indexed="30"/>
      <name val="Calibri"/>
      <family val="2"/>
      <scheme val="minor"/>
    </font>
    <font>
      <sz val="12"/>
      <color rgb="FF002060"/>
      <name val="Calibri"/>
      <family val="2"/>
      <scheme val="minor"/>
    </font>
    <font>
      <b/>
      <sz val="11"/>
      <color indexed="30"/>
      <name val="Calibri"/>
      <family val="2"/>
      <scheme val="minor"/>
    </font>
    <font>
      <b/>
      <sz val="16"/>
      <name val="Calibri"/>
      <family val="2"/>
      <scheme val="minor"/>
    </font>
    <font>
      <b/>
      <sz val="10"/>
      <color indexed="30"/>
      <name val="Calibri"/>
      <family val="2"/>
      <scheme val="minor"/>
    </font>
    <font>
      <u/>
      <sz val="12"/>
      <name val="Calibri"/>
      <family val="2"/>
      <scheme val="minor"/>
    </font>
    <font>
      <sz val="10"/>
      <color indexed="30"/>
      <name val="Calibri"/>
      <family val="2"/>
      <scheme val="minor"/>
    </font>
    <font>
      <i/>
      <sz val="10"/>
      <color indexed="10"/>
      <name val="Calibri"/>
      <family val="2"/>
      <scheme val="minor"/>
    </font>
    <font>
      <i/>
      <sz val="11"/>
      <name val="Calibri"/>
      <family val="2"/>
      <scheme val="minor"/>
    </font>
    <font>
      <sz val="12"/>
      <color theme="1"/>
      <name val="Calibri"/>
      <family val="2"/>
      <scheme val="minor"/>
    </font>
    <font>
      <i/>
      <sz val="10"/>
      <color theme="1"/>
      <name val="Calibri"/>
      <family val="2"/>
      <scheme val="minor"/>
    </font>
    <font>
      <i/>
      <sz val="12"/>
      <color theme="9" tint="-0.499984740745262"/>
      <name val="Calibri"/>
      <family val="2"/>
      <scheme val="minor"/>
    </font>
    <font>
      <i/>
      <sz val="9"/>
      <color rgb="FF7030A0"/>
      <name val="Calibri"/>
      <family val="2"/>
      <scheme val="minor"/>
    </font>
    <font>
      <i/>
      <sz val="10"/>
      <name val="Calibri"/>
      <family val="2"/>
      <scheme val="minor"/>
    </font>
    <font>
      <u/>
      <sz val="10"/>
      <color indexed="10"/>
      <name val="Calibri"/>
      <family val="2"/>
      <scheme val="minor"/>
    </font>
    <font>
      <u/>
      <sz val="12"/>
      <color theme="0"/>
      <name val="Calibri"/>
      <family val="2"/>
      <scheme val="minor"/>
    </font>
    <font>
      <u/>
      <sz val="12"/>
      <color rgb="FFFF0000"/>
      <name val="Calibri"/>
      <family val="2"/>
      <scheme val="minor"/>
    </font>
    <font>
      <u/>
      <sz val="12"/>
      <color rgb="FF002060"/>
      <name val="Calibri"/>
      <family val="2"/>
      <scheme val="minor"/>
    </font>
    <font>
      <b/>
      <sz val="10"/>
      <color indexed="10"/>
      <name val="Calibri"/>
      <family val="2"/>
      <scheme val="minor"/>
    </font>
    <font>
      <b/>
      <sz val="10"/>
      <color rgb="FFC00000"/>
      <name val="Calibri"/>
      <family val="2"/>
      <scheme val="minor"/>
    </font>
    <font>
      <sz val="12"/>
      <color indexed="10"/>
      <name val="Calibri"/>
      <family val="2"/>
      <scheme val="minor"/>
    </font>
    <font>
      <sz val="10"/>
      <color rgb="FFC00000"/>
      <name val="Calibri"/>
      <family val="2"/>
      <scheme val="minor"/>
    </font>
    <font>
      <b/>
      <sz val="8"/>
      <color indexed="18"/>
      <name val="Calibri"/>
      <family val="2"/>
      <scheme val="minor"/>
    </font>
    <font>
      <b/>
      <sz val="12"/>
      <color indexed="23"/>
      <name val="Calibri"/>
      <family val="2"/>
      <scheme val="minor"/>
    </font>
    <font>
      <b/>
      <sz val="11"/>
      <color indexed="17"/>
      <name val="Calibri"/>
      <family val="2"/>
      <scheme val="minor"/>
    </font>
    <font>
      <sz val="8"/>
      <color rgb="FFFF0000"/>
      <name val="Calibri"/>
      <family val="2"/>
      <scheme val="minor"/>
    </font>
    <font>
      <b/>
      <sz val="11"/>
      <color rgb="FFFF0000"/>
      <name val="Calibri"/>
      <family val="2"/>
      <scheme val="minor"/>
    </font>
    <font>
      <i/>
      <sz val="12"/>
      <color rgb="FFFF0000"/>
      <name val="Calibri"/>
      <family val="2"/>
      <scheme val="minor"/>
    </font>
    <font>
      <sz val="8"/>
      <color rgb="FF002060"/>
      <name val="Calibri"/>
      <family val="2"/>
      <scheme val="minor"/>
    </font>
    <font>
      <i/>
      <sz val="12"/>
      <color rgb="FF002060"/>
      <name val="Calibri"/>
      <family val="2"/>
      <scheme val="minor"/>
    </font>
    <font>
      <b/>
      <i/>
      <sz val="10"/>
      <name val="Calibri"/>
      <family val="2"/>
      <scheme val="minor"/>
    </font>
    <font>
      <i/>
      <u/>
      <sz val="10"/>
      <name val="Calibri"/>
      <family val="2"/>
      <scheme val="minor"/>
    </font>
    <font>
      <b/>
      <u val="double"/>
      <sz val="10"/>
      <name val="Calibri"/>
      <family val="2"/>
      <scheme val="minor"/>
    </font>
    <font>
      <u/>
      <sz val="10"/>
      <name val="Calibri"/>
      <family val="2"/>
      <scheme val="minor"/>
    </font>
    <font>
      <u val="singleAccounting"/>
      <sz val="10"/>
      <name val="Calibri"/>
      <family val="2"/>
      <scheme val="minor"/>
    </font>
    <font>
      <u val="singleAccounting"/>
      <sz val="10"/>
      <color rgb="FFFF0000"/>
      <name val="Calibri"/>
      <family val="2"/>
      <scheme val="minor"/>
    </font>
    <font>
      <u/>
      <sz val="10"/>
      <color theme="1"/>
      <name val="Calibri"/>
      <family val="2"/>
      <scheme val="minor"/>
    </font>
    <font>
      <i/>
      <sz val="10"/>
      <color rgb="FFFF0000"/>
      <name val="Calibri"/>
      <family val="2"/>
      <scheme val="minor"/>
    </font>
    <font>
      <u val="singleAccounting"/>
      <sz val="12"/>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6"/>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cellStyleXfs>
  <cellXfs count="805">
    <xf numFmtId="0" fontId="0" fillId="0" borderId="0" xfId="0"/>
    <xf numFmtId="0" fontId="1" fillId="0" borderId="0" xfId="0" applyFont="1" applyFill="1" applyBorder="1"/>
    <xf numFmtId="0" fontId="2" fillId="0" borderId="0" xfId="0" applyFont="1" applyFill="1" applyBorder="1"/>
    <xf numFmtId="164" fontId="2" fillId="0" borderId="0" xfId="2" applyNumberFormat="1" applyFont="1" applyFill="1" applyBorder="1"/>
    <xf numFmtId="0" fontId="8" fillId="2" borderId="1" xfId="0" applyFont="1" applyFill="1" applyBorder="1"/>
    <xf numFmtId="0" fontId="0" fillId="2" borderId="2" xfId="0" applyFill="1" applyBorder="1"/>
    <xf numFmtId="44" fontId="9" fillId="2" borderId="0" xfId="2" applyFont="1" applyFill="1" applyBorder="1"/>
    <xf numFmtId="0" fontId="0" fillId="2" borderId="0" xfId="0" applyFill="1" applyBorder="1" applyAlignment="1">
      <alignment horizontal="center"/>
    </xf>
    <xf numFmtId="0" fontId="0" fillId="2" borderId="0" xfId="0" applyFill="1" applyBorder="1"/>
    <xf numFmtId="0" fontId="0" fillId="0" borderId="0" xfId="0" applyAlignment="1">
      <alignment horizontal="center"/>
    </xf>
    <xf numFmtId="44" fontId="10" fillId="0" borderId="1" xfId="2" applyFont="1" applyFill="1" applyBorder="1" applyAlignment="1">
      <alignment horizontal="center"/>
    </xf>
    <xf numFmtId="0" fontId="10" fillId="0" borderId="2" xfId="0" applyFont="1" applyFill="1" applyBorder="1" applyAlignment="1">
      <alignment horizontal="center"/>
    </xf>
    <xf numFmtId="44" fontId="10" fillId="0" borderId="2" xfId="2" applyFont="1" applyFill="1" applyBorder="1"/>
    <xf numFmtId="44" fontId="10" fillId="0" borderId="3" xfId="2" applyFont="1" applyFill="1" applyBorder="1"/>
    <xf numFmtId="44" fontId="9" fillId="0" borderId="0" xfId="2" applyFont="1"/>
    <xf numFmtId="0" fontId="0" fillId="2" borderId="0" xfId="0" applyFill="1"/>
    <xf numFmtId="44" fontId="9" fillId="2" borderId="0" xfId="2" applyFont="1" applyFill="1"/>
    <xf numFmtId="0" fontId="0" fillId="2" borderId="0" xfId="0" applyFill="1" applyAlignment="1">
      <alignment horizontal="center"/>
    </xf>
    <xf numFmtId="0" fontId="0" fillId="0" borderId="0" xfId="0" applyFill="1" applyBorder="1"/>
    <xf numFmtId="0" fontId="0" fillId="0" borderId="0" xfId="0" applyFill="1"/>
    <xf numFmtId="44" fontId="9" fillId="0" borderId="0" xfId="2" applyFont="1" applyFill="1"/>
    <xf numFmtId="0" fontId="0" fillId="0" borderId="0" xfId="0" applyFill="1" applyAlignment="1">
      <alignment horizontal="center"/>
    </xf>
    <xf numFmtId="0" fontId="11" fillId="0" borderId="0" xfId="0" applyFont="1" applyFill="1" applyAlignment="1">
      <alignment horizontal="center"/>
    </xf>
    <xf numFmtId="44" fontId="10" fillId="0" borderId="0" xfId="2" applyFont="1" applyFill="1"/>
    <xf numFmtId="0" fontId="0" fillId="0" borderId="0" xfId="0" applyBorder="1"/>
    <xf numFmtId="0" fontId="0" fillId="0" borderId="0" xfId="0" applyBorder="1" applyAlignment="1">
      <alignment horizontal="left" indent="1"/>
    </xf>
    <xf numFmtId="0" fontId="0" fillId="0" borderId="0" xfId="0" applyAlignment="1">
      <alignment horizontal="left"/>
    </xf>
    <xf numFmtId="0" fontId="0" fillId="0" borderId="0" xfId="0" applyFill="1" applyBorder="1" applyAlignment="1">
      <alignment horizontal="left" indent="1"/>
    </xf>
    <xf numFmtId="44" fontId="9" fillId="0" borderId="0" xfId="2" applyFont="1" applyBorder="1"/>
    <xf numFmtId="44" fontId="9" fillId="0" borderId="4" xfId="2" applyFont="1" applyBorder="1"/>
    <xf numFmtId="0" fontId="0" fillId="0" borderId="0" xfId="0" applyBorder="1" applyAlignment="1">
      <alignment horizontal="left"/>
    </xf>
    <xf numFmtId="44" fontId="12" fillId="0" borderId="0" xfId="2" applyFont="1" applyBorder="1"/>
    <xf numFmtId="44" fontId="10" fillId="2" borderId="0" xfId="2" applyFont="1" applyFill="1"/>
    <xf numFmtId="44" fontId="10" fillId="0" borderId="0" xfId="2" applyFont="1"/>
    <xf numFmtId="0" fontId="0" fillId="2" borderId="0" xfId="0" applyFill="1" applyBorder="1" applyAlignment="1">
      <alignment horizontal="left" indent="2"/>
    </xf>
    <xf numFmtId="44" fontId="10" fillId="0" borderId="4" xfId="2" applyFont="1" applyBorder="1"/>
    <xf numFmtId="44" fontId="12" fillId="0" borderId="0" xfId="2" applyFont="1"/>
    <xf numFmtId="8" fontId="9" fillId="0" borderId="0" xfId="2" applyNumberFormat="1" applyFont="1"/>
    <xf numFmtId="0" fontId="9" fillId="0" borderId="0" xfId="0" applyFont="1" applyAlignment="1">
      <alignment horizontal="center"/>
    </xf>
    <xf numFmtId="0" fontId="0" fillId="0" borderId="0" xfId="0" applyFill="1" applyBorder="1" applyAlignment="1">
      <alignment horizontal="left"/>
    </xf>
    <xf numFmtId="0" fontId="0" fillId="2" borderId="0" xfId="0" applyFill="1" applyBorder="1" applyAlignment="1">
      <alignment horizontal="left" indent="1"/>
    </xf>
    <xf numFmtId="0" fontId="0" fillId="0" borderId="1" xfId="0" applyFill="1" applyBorder="1" applyAlignment="1">
      <alignment horizontal="left"/>
    </xf>
    <xf numFmtId="0" fontId="0" fillId="0" borderId="2" xfId="0" applyBorder="1"/>
    <xf numFmtId="44" fontId="9" fillId="0" borderId="2" xfId="2" applyFont="1" applyBorder="1"/>
    <xf numFmtId="0" fontId="0" fillId="0" borderId="2" xfId="0" applyBorder="1" applyAlignment="1">
      <alignment horizontal="center"/>
    </xf>
    <xf numFmtId="44" fontId="10" fillId="0" borderId="3" xfId="2" applyFont="1" applyBorder="1"/>
    <xf numFmtId="0" fontId="13" fillId="0" borderId="0" xfId="0" applyFont="1" applyBorder="1"/>
    <xf numFmtId="44" fontId="13" fillId="0" borderId="0" xfId="2" applyFont="1"/>
    <xf numFmtId="0" fontId="13" fillId="0" borderId="0" xfId="0" applyFont="1"/>
    <xf numFmtId="44" fontId="0" fillId="0" borderId="0" xfId="0" applyNumberFormat="1" applyAlignment="1">
      <alignment horizontal="center"/>
    </xf>
    <xf numFmtId="6" fontId="34" fillId="0" borderId="0" xfId="0" applyNumberFormat="1" applyFont="1" applyFill="1" applyBorder="1"/>
    <xf numFmtId="0" fontId="14" fillId="0" borderId="0" xfId="0" applyFont="1" applyFill="1" applyBorder="1"/>
    <xf numFmtId="164" fontId="15" fillId="0" borderId="0" xfId="2" applyNumberFormat="1" applyFont="1" applyFill="1" applyBorder="1"/>
    <xf numFmtId="164" fontId="14" fillId="0" borderId="0" xfId="2" applyNumberFormat="1" applyFont="1" applyFill="1" applyBorder="1"/>
    <xf numFmtId="0" fontId="0" fillId="3" borderId="0" xfId="0" applyFill="1"/>
    <xf numFmtId="44" fontId="32" fillId="0" borderId="0" xfId="2" applyFont="1"/>
    <xf numFmtId="0" fontId="36" fillId="0" borderId="0" xfId="0" applyFont="1" applyAlignment="1">
      <alignment horizontal="right" indent="1"/>
    </xf>
    <xf numFmtId="0" fontId="0" fillId="3" borderId="0" xfId="0" applyFill="1" applyAlignment="1">
      <alignment horizontal="right" indent="1"/>
    </xf>
    <xf numFmtId="0" fontId="37" fillId="3" borderId="0" xfId="0" applyFont="1" applyFill="1" applyAlignment="1">
      <alignment horizontal="right" indent="1"/>
    </xf>
    <xf numFmtId="0" fontId="38" fillId="3" borderId="0" xfId="0" applyFont="1" applyFill="1"/>
    <xf numFmtId="0" fontId="39" fillId="3" borderId="0" xfId="0" applyFont="1" applyFill="1" applyAlignment="1">
      <alignment horizontal="center"/>
    </xf>
    <xf numFmtId="0" fontId="40" fillId="4" borderId="0" xfId="0" applyFont="1" applyFill="1" applyAlignment="1">
      <alignment horizontal="right" indent="1"/>
    </xf>
    <xf numFmtId="6" fontId="41" fillId="4" borderId="0" xfId="0" applyNumberFormat="1" applyFont="1" applyFill="1" applyAlignment="1">
      <alignment horizontal="right" indent="1"/>
    </xf>
    <xf numFmtId="0" fontId="41" fillId="3" borderId="0" xfId="0" applyFont="1" applyFill="1" applyAlignment="1">
      <alignment horizontal="right" indent="1"/>
    </xf>
    <xf numFmtId="6" fontId="41" fillId="3" borderId="0" xfId="0" applyNumberFormat="1" applyFont="1" applyFill="1" applyAlignment="1">
      <alignment horizontal="right" indent="1"/>
    </xf>
    <xf numFmtId="0" fontId="41" fillId="4" borderId="0" xfId="0" applyFont="1" applyFill="1" applyAlignment="1">
      <alignment horizontal="right" indent="1"/>
    </xf>
    <xf numFmtId="0" fontId="42" fillId="0" borderId="0" xfId="0" applyFont="1" applyAlignment="1">
      <alignment horizontal="left" indent="1"/>
    </xf>
    <xf numFmtId="0" fontId="38" fillId="0" borderId="0" xfId="0" applyFont="1" applyAlignment="1">
      <alignment horizontal="left" indent="1"/>
    </xf>
    <xf numFmtId="0" fontId="43" fillId="0" borderId="0" xfId="0" applyFont="1" applyAlignment="1">
      <alignment horizontal="left" indent="1"/>
    </xf>
    <xf numFmtId="0" fontId="0" fillId="0" borderId="0" xfId="0" applyAlignment="1">
      <alignment vertical="center"/>
    </xf>
    <xf numFmtId="164" fontId="34" fillId="0" borderId="0" xfId="2" applyNumberFormat="1" applyFont="1"/>
    <xf numFmtId="0" fontId="44" fillId="0" borderId="0" xfId="0" applyFont="1" applyFill="1" applyBorder="1" applyAlignment="1">
      <alignment horizontal="center" vertical="center" wrapText="1"/>
    </xf>
    <xf numFmtId="6" fontId="0" fillId="0" borderId="0" xfId="0" applyNumberFormat="1"/>
    <xf numFmtId="0" fontId="23" fillId="0" borderId="0" xfId="0" applyFont="1"/>
    <xf numFmtId="0" fontId="24" fillId="0" borderId="0" xfId="0" applyFont="1"/>
    <xf numFmtId="0" fontId="5" fillId="0" borderId="0" xfId="0" applyFont="1" applyFill="1" applyBorder="1" applyAlignment="1" applyProtection="1">
      <alignment horizontal="center"/>
      <protection locked="0"/>
    </xf>
    <xf numFmtId="0" fontId="45" fillId="0" borderId="5" xfId="0" applyFont="1" applyFill="1" applyBorder="1" applyAlignment="1" applyProtection="1">
      <protection locked="0"/>
    </xf>
    <xf numFmtId="164" fontId="45" fillId="0" borderId="5" xfId="2" applyNumberFormat="1" applyFont="1" applyFill="1" applyBorder="1" applyAlignment="1" applyProtection="1">
      <protection locked="0"/>
    </xf>
    <xf numFmtId="0" fontId="46" fillId="0" borderId="5" xfId="0" applyFont="1" applyFill="1" applyBorder="1" applyAlignment="1" applyProtection="1">
      <protection locked="0"/>
    </xf>
    <xf numFmtId="0" fontId="14" fillId="0" borderId="6" xfId="0" applyFont="1" applyFill="1" applyBorder="1" applyAlignment="1" applyProtection="1">
      <protection locked="0"/>
    </xf>
    <xf numFmtId="0" fontId="1" fillId="0" borderId="0" xfId="0" applyFont="1" applyFill="1" applyBorder="1" applyAlignment="1" applyProtection="1">
      <protection locked="0"/>
    </xf>
    <xf numFmtId="0" fontId="45" fillId="0" borderId="0" xfId="0" applyFont="1" applyFill="1" applyBorder="1" applyAlignment="1" applyProtection="1">
      <protection locked="0"/>
    </xf>
    <xf numFmtId="0" fontId="47" fillId="0" borderId="0" xfId="0" applyFont="1" applyFill="1" applyBorder="1" applyAlignment="1" applyProtection="1">
      <protection locked="0"/>
    </xf>
    <xf numFmtId="164" fontId="45" fillId="0" borderId="0" xfId="2" applyNumberFormat="1" applyFont="1" applyFill="1" applyBorder="1" applyAlignment="1" applyProtection="1">
      <protection locked="0"/>
    </xf>
    <xf numFmtId="0" fontId="46" fillId="0" borderId="0" xfId="0" applyFont="1" applyFill="1" applyBorder="1" applyAlignment="1" applyProtection="1">
      <protection locked="0"/>
    </xf>
    <xf numFmtId="38" fontId="48" fillId="0" borderId="7" xfId="2" applyNumberFormat="1" applyFont="1" applyFill="1" applyBorder="1" applyAlignment="1" applyProtection="1">
      <alignment vertical="center"/>
      <protection locked="0"/>
    </xf>
    <xf numFmtId="6" fontId="45" fillId="0" borderId="0" xfId="2" applyNumberFormat="1" applyFont="1" applyFill="1" applyBorder="1" applyAlignment="1" applyProtection="1">
      <protection locked="0"/>
    </xf>
    <xf numFmtId="6" fontId="47" fillId="0" borderId="0" xfId="2" applyNumberFormat="1" applyFont="1" applyFill="1" applyBorder="1" applyAlignment="1" applyProtection="1">
      <protection locked="0"/>
    </xf>
    <xf numFmtId="6" fontId="45" fillId="0" borderId="0" xfId="0" applyNumberFormat="1" applyFont="1" applyFill="1" applyBorder="1" applyAlignment="1" applyProtection="1">
      <protection locked="0"/>
    </xf>
    <xf numFmtId="6" fontId="46" fillId="0" borderId="0" xfId="0" applyNumberFormat="1" applyFont="1" applyFill="1" applyBorder="1" applyAlignment="1" applyProtection="1">
      <protection locked="0"/>
    </xf>
    <xf numFmtId="0" fontId="34" fillId="0" borderId="0" xfId="0" applyFont="1" applyFill="1" applyBorder="1" applyAlignment="1" applyProtection="1">
      <protection locked="0"/>
    </xf>
    <xf numFmtId="0" fontId="14" fillId="0" borderId="0" xfId="0" applyFont="1" applyFill="1" applyBorder="1" applyAlignment="1" applyProtection="1">
      <protection locked="0"/>
    </xf>
    <xf numFmtId="165" fontId="5" fillId="0" borderId="0" xfId="0" applyNumberFormat="1" applyFont="1" applyFill="1" applyBorder="1" applyAlignment="1" applyProtection="1">
      <alignment horizontal="center"/>
      <protection locked="0"/>
    </xf>
    <xf numFmtId="0" fontId="45" fillId="0" borderId="0" xfId="0" applyFont="1" applyFill="1" applyBorder="1" applyAlignment="1" applyProtection="1">
      <alignment horizontal="left"/>
      <protection locked="0"/>
    </xf>
    <xf numFmtId="6" fontId="46" fillId="0" borderId="0" xfId="2" applyNumberFormat="1" applyFont="1" applyFill="1" applyBorder="1" applyAlignment="1" applyProtection="1">
      <protection locked="0"/>
    </xf>
    <xf numFmtId="6" fontId="49" fillId="0" borderId="0" xfId="0" applyNumberFormat="1" applyFont="1" applyFill="1" applyBorder="1" applyAlignment="1" applyProtection="1">
      <protection locked="0"/>
    </xf>
    <xf numFmtId="0" fontId="46" fillId="0" borderId="0" xfId="0" applyFont="1" applyFill="1" applyBorder="1" applyAlignment="1" applyProtection="1">
      <alignment horizontal="left"/>
      <protection locked="0"/>
    </xf>
    <xf numFmtId="0" fontId="50" fillId="0" borderId="0" xfId="0" applyFont="1" applyFill="1" applyBorder="1" applyAlignment="1" applyProtection="1">
      <alignment horizontal="left"/>
      <protection locked="0"/>
    </xf>
    <xf numFmtId="165" fontId="6" fillId="0" borderId="0" xfId="0" applyNumberFormat="1" applyFont="1" applyFill="1" applyBorder="1" applyAlignment="1" applyProtection="1">
      <alignment horizontal="center"/>
      <protection locked="0"/>
    </xf>
    <xf numFmtId="0" fontId="16" fillId="0" borderId="0" xfId="0" applyFont="1" applyFill="1" applyBorder="1" applyAlignment="1" applyProtection="1">
      <protection locked="0"/>
    </xf>
    <xf numFmtId="0" fontId="3" fillId="0" borderId="0" xfId="0" applyFont="1" applyFill="1" applyBorder="1" applyAlignment="1" applyProtection="1">
      <protection locked="0"/>
    </xf>
    <xf numFmtId="6" fontId="1" fillId="0" borderId="0" xfId="0" applyNumberFormat="1" applyFont="1" applyFill="1" applyBorder="1" applyAlignment="1" applyProtection="1">
      <protection locked="0"/>
    </xf>
    <xf numFmtId="6" fontId="47" fillId="0" borderId="0" xfId="0" applyNumberFormat="1" applyFont="1" applyFill="1" applyBorder="1" applyAlignment="1" applyProtection="1">
      <protection locked="0"/>
    </xf>
    <xf numFmtId="6" fontId="51" fillId="0" borderId="0" xfId="0" applyNumberFormat="1" applyFont="1" applyFill="1" applyBorder="1" applyAlignment="1" applyProtection="1">
      <protection locked="0"/>
    </xf>
    <xf numFmtId="6" fontId="3" fillId="0" borderId="0" xfId="0" applyNumberFormat="1" applyFont="1" applyFill="1" applyBorder="1" applyAlignment="1" applyProtection="1">
      <protection locked="0"/>
    </xf>
    <xf numFmtId="6" fontId="52" fillId="0" borderId="0" xfId="2" applyNumberFormat="1" applyFont="1" applyFill="1" applyBorder="1" applyAlignment="1" applyProtection="1">
      <protection locked="0"/>
    </xf>
    <xf numFmtId="6" fontId="53" fillId="0" borderId="0" xfId="2" applyNumberFormat="1" applyFont="1" applyFill="1" applyBorder="1" applyAlignment="1" applyProtection="1">
      <protection locked="0"/>
    </xf>
    <xf numFmtId="0" fontId="22" fillId="0" borderId="0" xfId="0" applyFont="1" applyFill="1" applyBorder="1" applyAlignment="1" applyProtection="1">
      <protection locked="0"/>
    </xf>
    <xf numFmtId="0" fontId="47" fillId="0" borderId="0" xfId="0" applyFont="1" applyFill="1" applyBorder="1" applyAlignment="1" applyProtection="1">
      <alignment horizontal="left"/>
      <protection locked="0"/>
    </xf>
    <xf numFmtId="6" fontId="55" fillId="0" borderId="0" xfId="0" applyNumberFormat="1" applyFont="1" applyFill="1" applyBorder="1" applyAlignment="1" applyProtection="1">
      <protection locked="0"/>
    </xf>
    <xf numFmtId="0" fontId="55" fillId="0" borderId="0" xfId="0" applyFont="1" applyFill="1" applyBorder="1" applyAlignment="1" applyProtection="1">
      <protection locked="0"/>
    </xf>
    <xf numFmtId="0" fontId="4" fillId="0" borderId="0" xfId="0" applyFont="1" applyFill="1" applyBorder="1" applyAlignment="1" applyProtection="1">
      <alignment horizontal="left"/>
      <protection locked="0"/>
    </xf>
    <xf numFmtId="6" fontId="56" fillId="0" borderId="0" xfId="0" applyNumberFormat="1" applyFont="1" applyFill="1" applyBorder="1" applyAlignment="1" applyProtection="1">
      <protection locked="0"/>
    </xf>
    <xf numFmtId="0" fontId="57" fillId="0" borderId="5" xfId="0" applyFont="1" applyFill="1" applyBorder="1" applyAlignment="1" applyProtection="1">
      <alignment horizontal="center"/>
      <protection locked="0"/>
    </xf>
    <xf numFmtId="164" fontId="58" fillId="0" borderId="5" xfId="2" applyNumberFormat="1" applyFont="1" applyFill="1" applyBorder="1" applyAlignment="1" applyProtection="1">
      <alignment horizontal="center"/>
      <protection locked="0"/>
    </xf>
    <xf numFmtId="6" fontId="59" fillId="0" borderId="0" xfId="0" applyNumberFormat="1" applyFont="1" applyFill="1" applyBorder="1" applyAlignment="1" applyProtection="1">
      <protection locked="0"/>
    </xf>
    <xf numFmtId="6" fontId="60" fillId="0" borderId="0" xfId="2" applyNumberFormat="1" applyFont="1" applyFill="1" applyBorder="1" applyAlignment="1" applyProtection="1">
      <protection locked="0"/>
    </xf>
    <xf numFmtId="6" fontId="59" fillId="0" borderId="0" xfId="0" applyNumberFormat="1" applyFont="1" applyFill="1" applyBorder="1" applyAlignment="1" applyProtection="1">
      <alignment horizontal="right"/>
      <protection locked="0"/>
    </xf>
    <xf numFmtId="6" fontId="60" fillId="0" borderId="0" xfId="0" applyNumberFormat="1" applyFont="1" applyFill="1" applyBorder="1" applyAlignment="1" applyProtection="1">
      <protection locked="0"/>
    </xf>
    <xf numFmtId="6" fontId="61" fillId="0" borderId="0" xfId="2" applyNumberFormat="1" applyFont="1" applyFill="1" applyBorder="1" applyAlignment="1" applyProtection="1">
      <protection locked="0"/>
    </xf>
    <xf numFmtId="0" fontId="59" fillId="0" borderId="0" xfId="0" applyFont="1" applyFill="1" applyBorder="1" applyAlignment="1" applyProtection="1">
      <protection locked="0"/>
    </xf>
    <xf numFmtId="0" fontId="63" fillId="0" borderId="0" xfId="0" applyFont="1" applyFill="1" applyBorder="1" applyAlignment="1" applyProtection="1">
      <protection locked="0"/>
    </xf>
    <xf numFmtId="164" fontId="63" fillId="0" borderId="0" xfId="2" applyNumberFormat="1" applyFont="1" applyFill="1" applyBorder="1" applyAlignment="1" applyProtection="1">
      <protection locked="0"/>
    </xf>
    <xf numFmtId="6" fontId="63" fillId="0" borderId="0" xfId="0" applyNumberFormat="1" applyFont="1" applyFill="1" applyBorder="1" applyAlignment="1" applyProtection="1">
      <protection locked="0"/>
    </xf>
    <xf numFmtId="6" fontId="64" fillId="0" borderId="0" xfId="0" applyNumberFormat="1" applyFont="1" applyFill="1" applyBorder="1" applyAlignment="1" applyProtection="1">
      <protection locked="0"/>
    </xf>
    <xf numFmtId="0" fontId="57" fillId="5" borderId="5" xfId="0" applyFont="1" applyFill="1" applyBorder="1" applyAlignment="1" applyProtection="1">
      <alignment horizontal="center"/>
      <protection locked="0"/>
    </xf>
    <xf numFmtId="6" fontId="34" fillId="5" borderId="0" xfId="0" applyNumberFormat="1" applyFont="1" applyFill="1" applyBorder="1" applyAlignment="1" applyProtection="1">
      <protection locked="0"/>
    </xf>
    <xf numFmtId="6" fontId="35" fillId="5" borderId="0" xfId="0" applyNumberFormat="1" applyFont="1" applyFill="1" applyBorder="1" applyAlignment="1" applyProtection="1">
      <protection locked="0"/>
    </xf>
    <xf numFmtId="0" fontId="34" fillId="3" borderId="0" xfId="0" applyFont="1" applyFill="1" applyBorder="1" applyAlignment="1" applyProtection="1">
      <protection locked="0"/>
    </xf>
    <xf numFmtId="0" fontId="0" fillId="0" borderId="0" xfId="0" applyNumberFormat="1" applyFont="1" applyFill="1" applyAlignment="1"/>
    <xf numFmtId="0" fontId="27" fillId="0" borderId="0" xfId="0" applyNumberFormat="1" applyFont="1" applyFill="1" applyAlignment="1">
      <alignment horizontal="center"/>
    </xf>
    <xf numFmtId="0" fontId="27" fillId="0" borderId="4" xfId="0" applyNumberFormat="1" applyFont="1" applyFill="1" applyBorder="1" applyAlignment="1">
      <alignment horizontal="center"/>
    </xf>
    <xf numFmtId="0" fontId="28" fillId="0" borderId="0" xfId="0" applyNumberFormat="1" applyFont="1" applyFill="1" applyAlignment="1">
      <alignment horizontal="left"/>
    </xf>
    <xf numFmtId="4" fontId="29" fillId="0" borderId="0" xfId="0" applyNumberFormat="1" applyFont="1" applyFill="1" applyAlignment="1">
      <alignment horizontal="left"/>
    </xf>
    <xf numFmtId="4" fontId="28" fillId="0" borderId="0" xfId="0" applyNumberFormat="1" applyFont="1" applyFill="1" applyAlignment="1">
      <alignment horizontal="left"/>
    </xf>
    <xf numFmtId="4" fontId="29" fillId="0" borderId="0" xfId="0" applyNumberFormat="1" applyFont="1" applyFill="1" applyAlignment="1">
      <alignment horizontal="right"/>
    </xf>
    <xf numFmtId="10" fontId="29" fillId="0" borderId="0" xfId="0" applyNumberFormat="1" applyFont="1" applyFill="1" applyAlignment="1">
      <alignment horizontal="right"/>
    </xf>
    <xf numFmtId="10" fontId="28" fillId="0" borderId="0" xfId="0" applyNumberFormat="1" applyFont="1" applyFill="1" applyAlignment="1">
      <alignment horizontal="left"/>
    </xf>
    <xf numFmtId="170" fontId="28" fillId="0" borderId="8" xfId="0" applyNumberFormat="1" applyFont="1" applyFill="1" applyBorder="1" applyAlignment="1">
      <alignment horizontal="right"/>
    </xf>
    <xf numFmtId="10" fontId="28" fillId="0" borderId="8" xfId="0" applyNumberFormat="1" applyFont="1" applyFill="1" applyBorder="1" applyAlignment="1">
      <alignment horizontal="right"/>
    </xf>
    <xf numFmtId="170" fontId="28" fillId="0" borderId="9" xfId="0" applyNumberFormat="1" applyFont="1" applyFill="1" applyBorder="1" applyAlignment="1">
      <alignment horizontal="right"/>
    </xf>
    <xf numFmtId="10" fontId="28" fillId="0" borderId="9" xfId="0" applyNumberFormat="1" applyFont="1" applyFill="1" applyBorder="1" applyAlignment="1">
      <alignment horizontal="right"/>
    </xf>
    <xf numFmtId="164" fontId="53" fillId="0" borderId="0" xfId="2" applyNumberFormat="1" applyFont="1" applyFill="1" applyBorder="1" applyAlignment="1" applyProtection="1">
      <protection locked="0"/>
    </xf>
    <xf numFmtId="0" fontId="30" fillId="0" borderId="10" xfId="0" applyFont="1" applyBorder="1" applyAlignment="1">
      <alignment horizontal="center" vertical="center" wrapText="1"/>
    </xf>
    <xf numFmtId="0" fontId="0" fillId="0" borderId="8" xfId="0" applyBorder="1" applyAlignment="1">
      <alignment horizontal="center"/>
    </xf>
    <xf numFmtId="0" fontId="9" fillId="6" borderId="8" xfId="0" applyFont="1" applyFill="1" applyBorder="1"/>
    <xf numFmtId="0" fontId="0" fillId="0" borderId="8" xfId="0" applyBorder="1"/>
    <xf numFmtId="0" fontId="0" fillId="5" borderId="8" xfId="0" applyFill="1" applyBorder="1"/>
    <xf numFmtId="0" fontId="0" fillId="5" borderId="11" xfId="0" applyFill="1" applyBorder="1"/>
    <xf numFmtId="0" fontId="0" fillId="0" borderId="12" xfId="0" applyBorder="1"/>
    <xf numFmtId="15" fontId="10" fillId="6" borderId="0" xfId="0" applyNumberFormat="1" applyFont="1" applyFill="1" applyBorder="1" applyAlignment="1">
      <alignment horizontal="center"/>
    </xf>
    <xf numFmtId="15" fontId="10" fillId="0" borderId="0" xfId="0" applyNumberFormat="1" applyFont="1" applyBorder="1" applyAlignment="1">
      <alignment horizontal="center" vertical="center" wrapText="1"/>
    </xf>
    <xf numFmtId="14" fontId="10" fillId="6" borderId="0" xfId="0" applyNumberFormat="1" applyFont="1" applyFill="1" applyBorder="1" applyAlignment="1">
      <alignment horizontal="center"/>
    </xf>
    <xf numFmtId="14" fontId="10" fillId="0" borderId="0" xfId="0" applyNumberFormat="1" applyFont="1" applyBorder="1" applyAlignment="1">
      <alignment horizontal="center"/>
    </xf>
    <xf numFmtId="0" fontId="10" fillId="0" borderId="13" xfId="0" applyFont="1" applyBorder="1" applyAlignment="1">
      <alignment horizontal="center" vertical="center" wrapText="1"/>
    </xf>
    <xf numFmtId="0" fontId="65" fillId="0" borderId="4" xfId="0" applyFont="1" applyBorder="1" applyAlignment="1">
      <alignment horizontal="center" vertical="center"/>
    </xf>
    <xf numFmtId="0" fontId="10" fillId="0" borderId="14" xfId="0" applyFont="1" applyBorder="1" applyAlignment="1">
      <alignment horizontal="center" vertical="center" wrapText="1"/>
    </xf>
    <xf numFmtId="14" fontId="10" fillId="6" borderId="4" xfId="0" applyNumberFormat="1" applyFont="1" applyFill="1" applyBorder="1" applyAlignment="1">
      <alignment horizontal="center"/>
    </xf>
    <xf numFmtId="15"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14" fontId="10" fillId="0" borderId="4" xfId="0" applyNumberFormat="1" applyFont="1" applyBorder="1" applyAlignment="1">
      <alignment horizontal="center"/>
    </xf>
    <xf numFmtId="0" fontId="10" fillId="5" borderId="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4" xfId="0" applyFont="1" applyFill="1" applyBorder="1" applyAlignment="1">
      <alignment horizontal="center" vertical="center"/>
    </xf>
    <xf numFmtId="2" fontId="66" fillId="0" borderId="10" xfId="0" applyNumberFormat="1" applyFont="1" applyBorder="1"/>
    <xf numFmtId="0" fontId="67" fillId="0" borderId="8" xfId="0" applyFont="1" applyBorder="1"/>
    <xf numFmtId="2" fontId="68" fillId="0" borderId="10" xfId="0" applyNumberFormat="1" applyFont="1" applyBorder="1"/>
    <xf numFmtId="2" fontId="0" fillId="0" borderId="11" xfId="0" applyNumberFormat="1" applyBorder="1"/>
    <xf numFmtId="2" fontId="9" fillId="6" borderId="8" xfId="0" applyNumberFormat="1" applyFont="1" applyFill="1" applyBorder="1"/>
    <xf numFmtId="166" fontId="0" fillId="0" borderId="8" xfId="0" applyNumberFormat="1" applyBorder="1"/>
    <xf numFmtId="2" fontId="0" fillId="5" borderId="8" xfId="0" applyNumberFormat="1" applyFill="1" applyBorder="1"/>
    <xf numFmtId="166" fontId="0" fillId="5" borderId="11" xfId="0" applyNumberFormat="1" applyFill="1" applyBorder="1"/>
    <xf numFmtId="168" fontId="0" fillId="5" borderId="8" xfId="0" applyNumberFormat="1" applyFill="1" applyBorder="1"/>
    <xf numFmtId="166" fontId="0" fillId="5" borderId="8" xfId="0" applyNumberFormat="1" applyFill="1" applyBorder="1"/>
    <xf numFmtId="2" fontId="66" fillId="0" borderId="12" xfId="0" applyNumberFormat="1" applyFont="1" applyBorder="1"/>
    <xf numFmtId="2" fontId="68" fillId="0" borderId="12" xfId="0" applyNumberFormat="1" applyFont="1" applyBorder="1"/>
    <xf numFmtId="2" fontId="0" fillId="0" borderId="15" xfId="0" applyNumberFormat="1" applyBorder="1"/>
    <xf numFmtId="0" fontId="9" fillId="6" borderId="0" xfId="0" applyFont="1" applyFill="1" applyBorder="1"/>
    <xf numFmtId="166" fontId="0" fillId="0" borderId="0" xfId="0" applyNumberFormat="1" applyBorder="1"/>
    <xf numFmtId="2" fontId="0" fillId="5" borderId="0" xfId="0" applyNumberFormat="1" applyFill="1" applyBorder="1"/>
    <xf numFmtId="166" fontId="0" fillId="5" borderId="15" xfId="0" applyNumberFormat="1" applyFill="1" applyBorder="1"/>
    <xf numFmtId="168" fontId="0" fillId="5" borderId="0" xfId="0" applyNumberFormat="1" applyFill="1" applyBorder="1"/>
    <xf numFmtId="166" fontId="0" fillId="5" borderId="0" xfId="0" applyNumberFormat="1" applyFill="1" applyBorder="1"/>
    <xf numFmtId="0" fontId="0" fillId="5" borderId="15" xfId="0" applyFill="1" applyBorder="1"/>
    <xf numFmtId="0" fontId="67" fillId="0" borderId="0" xfId="0" applyFont="1" applyBorder="1"/>
    <xf numFmtId="168" fontId="9" fillId="5" borderId="0" xfId="1" applyNumberFormat="1" applyFont="1" applyFill="1" applyBorder="1"/>
    <xf numFmtId="167" fontId="9" fillId="5" borderId="0" xfId="1" applyNumberFormat="1" applyFont="1" applyFill="1" applyBorder="1"/>
    <xf numFmtId="2" fontId="69" fillId="0" borderId="13" xfId="0" applyNumberFormat="1" applyFont="1" applyBorder="1"/>
    <xf numFmtId="0" fontId="70" fillId="0" borderId="4" xfId="0" applyFont="1" applyBorder="1"/>
    <xf numFmtId="2" fontId="71" fillId="0" borderId="13" xfId="0" applyNumberFormat="1" applyFont="1" applyBorder="1"/>
    <xf numFmtId="2" fontId="13" fillId="0" borderId="14" xfId="0" applyNumberFormat="1" applyFont="1" applyBorder="1"/>
    <xf numFmtId="0" fontId="13" fillId="6" borderId="4" xfId="0" applyFont="1" applyFill="1" applyBorder="1"/>
    <xf numFmtId="0" fontId="13" fillId="0" borderId="4" xfId="0" applyFont="1" applyBorder="1"/>
    <xf numFmtId="166" fontId="13" fillId="0" borderId="4" xfId="0" applyNumberFormat="1" applyFont="1" applyBorder="1"/>
    <xf numFmtId="2" fontId="13" fillId="5" borderId="4" xfId="0" applyNumberFormat="1" applyFont="1" applyFill="1" applyBorder="1"/>
    <xf numFmtId="166" fontId="13" fillId="5" borderId="14" xfId="0" applyNumberFormat="1" applyFont="1" applyFill="1" applyBorder="1"/>
    <xf numFmtId="168" fontId="13" fillId="5" borderId="4" xfId="1" applyNumberFormat="1" applyFont="1" applyFill="1" applyBorder="1"/>
    <xf numFmtId="167" fontId="13" fillId="5" borderId="4" xfId="1" applyNumberFormat="1" applyFont="1" applyFill="1" applyBorder="1"/>
    <xf numFmtId="2" fontId="66" fillId="0" borderId="13" xfId="0" applyNumberFormat="1" applyFont="1" applyBorder="1"/>
    <xf numFmtId="0" fontId="67" fillId="0" borderId="4" xfId="0" applyFont="1" applyBorder="1"/>
    <xf numFmtId="2" fontId="68" fillId="0" borderId="13" xfId="0" applyNumberFormat="1" applyFont="1" applyBorder="1"/>
    <xf numFmtId="2" fontId="0" fillId="0" borderId="14" xfId="0" applyNumberFormat="1" applyBorder="1"/>
    <xf numFmtId="0" fontId="9" fillId="6" borderId="4" xfId="0" applyFont="1" applyFill="1" applyBorder="1"/>
    <xf numFmtId="0" fontId="0" fillId="0" borderId="4" xfId="0" applyBorder="1"/>
    <xf numFmtId="166" fontId="0" fillId="0" borderId="4" xfId="0" applyNumberFormat="1" applyBorder="1"/>
    <xf numFmtId="2" fontId="0" fillId="5" borderId="4" xfId="0" applyNumberFormat="1" applyFill="1" applyBorder="1"/>
    <xf numFmtId="166" fontId="0" fillId="5" borderId="14" xfId="0" applyNumberFormat="1" applyFill="1" applyBorder="1"/>
    <xf numFmtId="168" fontId="9" fillId="5" borderId="4" xfId="1" applyNumberFormat="1" applyFont="1" applyFill="1" applyBorder="1"/>
    <xf numFmtId="167" fontId="9" fillId="5" borderId="4" xfId="1" applyNumberFormat="1" applyFont="1" applyFill="1" applyBorder="1"/>
    <xf numFmtId="2" fontId="69" fillId="5" borderId="13" xfId="0" applyNumberFormat="1" applyFont="1" applyFill="1" applyBorder="1"/>
    <xf numFmtId="0" fontId="70" fillId="5" borderId="4" xfId="0" applyFont="1" applyFill="1" applyBorder="1"/>
    <xf numFmtId="2" fontId="71" fillId="5" borderId="13" xfId="0" applyNumberFormat="1" applyFont="1" applyFill="1" applyBorder="1"/>
    <xf numFmtId="2" fontId="13" fillId="5" borderId="14" xfId="0" applyNumberFormat="1" applyFont="1" applyFill="1" applyBorder="1"/>
    <xf numFmtId="0" fontId="13" fillId="5" borderId="4" xfId="0" applyFont="1" applyFill="1" applyBorder="1"/>
    <xf numFmtId="166" fontId="13" fillId="5" borderId="4" xfId="0" applyNumberFormat="1" applyFont="1" applyFill="1" applyBorder="1"/>
    <xf numFmtId="0" fontId="68" fillId="0" borderId="10" xfId="0" applyFont="1" applyBorder="1"/>
    <xf numFmtId="0" fontId="66" fillId="0" borderId="12" xfId="0" applyFont="1" applyBorder="1" applyAlignment="1">
      <alignment horizontal="left" vertical="center" wrapText="1"/>
    </xf>
    <xf numFmtId="2" fontId="9" fillId="0" borderId="15" xfId="0" applyNumberFormat="1" applyFont="1" applyBorder="1"/>
    <xf numFmtId="0" fontId="10" fillId="0" borderId="0" xfId="0" applyFont="1" applyBorder="1" applyAlignment="1">
      <alignment horizontal="center"/>
    </xf>
    <xf numFmtId="0" fontId="66" fillId="0" borderId="10" xfId="0" applyFont="1" applyBorder="1" applyAlignment="1">
      <alignment horizontal="left" wrapText="1"/>
    </xf>
    <xf numFmtId="2" fontId="1" fillId="0" borderId="12" xfId="0" applyNumberFormat="1" applyFont="1" applyBorder="1"/>
    <xf numFmtId="0" fontId="72" fillId="0" borderId="0" xfId="0" applyFont="1" applyBorder="1"/>
    <xf numFmtId="2" fontId="0" fillId="0" borderId="12" xfId="0" applyNumberFormat="1" applyBorder="1"/>
    <xf numFmtId="2" fontId="9" fillId="5" borderId="0" xfId="0" applyNumberFormat="1" applyFont="1" applyFill="1" applyBorder="1"/>
    <xf numFmtId="166" fontId="9" fillId="5" borderId="15" xfId="0" applyNumberFormat="1" applyFont="1" applyFill="1" applyBorder="1"/>
    <xf numFmtId="168" fontId="9" fillId="5" borderId="0" xfId="0" applyNumberFormat="1" applyFont="1" applyFill="1" applyBorder="1"/>
    <xf numFmtId="166" fontId="9" fillId="5" borderId="0" xfId="0" applyNumberFormat="1" applyFont="1" applyFill="1" applyBorder="1"/>
    <xf numFmtId="0" fontId="9" fillId="5" borderId="15" xfId="0" applyFont="1" applyFill="1" applyBorder="1"/>
    <xf numFmtId="0" fontId="10" fillId="0" borderId="13" xfId="0" applyFont="1" applyBorder="1"/>
    <xf numFmtId="0" fontId="65" fillId="0" borderId="4" xfId="0" applyFont="1" applyBorder="1"/>
    <xf numFmtId="2" fontId="10" fillId="0" borderId="13" xfId="0" applyNumberFormat="1" applyFont="1" applyBorder="1"/>
    <xf numFmtId="167" fontId="10" fillId="0" borderId="14" xfId="1" applyNumberFormat="1" applyFont="1" applyBorder="1"/>
    <xf numFmtId="0" fontId="10" fillId="6" borderId="4" xfId="0" applyFont="1" applyFill="1" applyBorder="1"/>
    <xf numFmtId="0" fontId="10" fillId="0" borderId="4" xfId="0" applyFont="1" applyBorder="1"/>
    <xf numFmtId="171" fontId="10" fillId="5" borderId="4" xfId="0" applyNumberFormat="1" applyFont="1" applyFill="1" applyBorder="1"/>
    <xf numFmtId="167" fontId="10" fillId="5" borderId="4" xfId="1" applyNumberFormat="1" applyFont="1" applyFill="1" applyBorder="1"/>
    <xf numFmtId="166" fontId="30" fillId="5" borderId="14" xfId="0" applyNumberFormat="1" applyFont="1" applyFill="1" applyBorder="1"/>
    <xf numFmtId="168" fontId="30" fillId="5" borderId="4" xfId="1" applyNumberFormat="1" applyFont="1" applyFill="1" applyBorder="1"/>
    <xf numFmtId="167" fontId="30" fillId="5" borderId="4" xfId="1" applyNumberFormat="1" applyFont="1" applyFill="1" applyBorder="1"/>
    <xf numFmtId="0" fontId="10" fillId="0" borderId="0" xfId="0" applyFont="1" applyBorder="1"/>
    <xf numFmtId="2" fontId="1" fillId="0" borderId="0" xfId="0" applyNumberFormat="1" applyFont="1" applyFill="1" applyBorder="1"/>
    <xf numFmtId="0" fontId="72" fillId="0" borderId="0" xfId="0" applyFont="1" applyFill="1" applyBorder="1"/>
    <xf numFmtId="0" fontId="9" fillId="0" borderId="0" xfId="0" applyFont="1" applyFill="1" applyBorder="1"/>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0" fillId="5" borderId="0" xfId="0" applyFill="1" applyBorder="1"/>
    <xf numFmtId="0" fontId="45" fillId="0" borderId="16" xfId="0" applyFont="1" applyFill="1" applyBorder="1" applyAlignment="1" applyProtection="1">
      <alignment horizontal="center"/>
      <protection locked="0"/>
    </xf>
    <xf numFmtId="0" fontId="4" fillId="0" borderId="0" xfId="0" applyFont="1" applyFill="1" applyBorder="1" applyAlignment="1" applyProtection="1">
      <protection locked="0"/>
    </xf>
    <xf numFmtId="14" fontId="73" fillId="0" borderId="6" xfId="0" applyNumberFormat="1" applyFont="1" applyFill="1" applyBorder="1" applyAlignment="1" applyProtection="1">
      <alignment horizontal="center" vertical="center"/>
      <protection locked="0"/>
    </xf>
    <xf numFmtId="0" fontId="45" fillId="0" borderId="17" xfId="0" applyFont="1" applyFill="1" applyBorder="1" applyAlignment="1" applyProtection="1">
      <alignment horizontal="center"/>
      <protection locked="0"/>
    </xf>
    <xf numFmtId="164" fontId="45" fillId="0" borderId="18" xfId="2" applyNumberFormat="1" applyFont="1" applyFill="1" applyBorder="1" applyAlignment="1" applyProtection="1">
      <protection locked="0"/>
    </xf>
    <xf numFmtId="164" fontId="58" fillId="0" borderId="18" xfId="2" applyNumberFormat="1" applyFont="1" applyFill="1" applyBorder="1" applyAlignment="1" applyProtection="1">
      <alignment horizontal="center"/>
      <protection locked="0"/>
    </xf>
    <xf numFmtId="0" fontId="46" fillId="0" borderId="18" xfId="0" applyFont="1" applyFill="1" applyBorder="1" applyAlignment="1" applyProtection="1">
      <protection locked="0"/>
    </xf>
    <xf numFmtId="0" fontId="57" fillId="0" borderId="18" xfId="0" applyFont="1" applyFill="1" applyBorder="1" applyAlignment="1" applyProtection="1">
      <alignment horizontal="center"/>
      <protection locked="0"/>
    </xf>
    <xf numFmtId="0" fontId="57" fillId="5" borderId="18" xfId="0" applyFont="1" applyFill="1" applyBorder="1" applyAlignment="1" applyProtection="1">
      <alignment horizontal="center"/>
      <protection locked="0"/>
    </xf>
    <xf numFmtId="38" fontId="74" fillId="0" borderId="19" xfId="2" applyNumberFormat="1" applyFont="1" applyFill="1" applyBorder="1" applyAlignment="1" applyProtection="1">
      <alignment horizontal="center" vertical="center"/>
      <protection locked="0"/>
    </xf>
    <xf numFmtId="0" fontId="75" fillId="7" borderId="5" xfId="0" applyFont="1" applyFill="1" applyBorder="1" applyAlignment="1" applyProtection="1">
      <alignment horizontal="center"/>
      <protection locked="0"/>
    </xf>
    <xf numFmtId="0" fontId="75" fillId="7" borderId="18" xfId="0" applyFont="1" applyFill="1" applyBorder="1" applyAlignment="1" applyProtection="1">
      <alignment horizontal="center"/>
      <protection locked="0"/>
    </xf>
    <xf numFmtId="0" fontId="76" fillId="7" borderId="0" xfId="0" applyFont="1" applyFill="1" applyBorder="1" applyAlignment="1" applyProtection="1">
      <protection locked="0"/>
    </xf>
    <xf numFmtId="164" fontId="76" fillId="7" borderId="0" xfId="2" applyNumberFormat="1" applyFont="1" applyFill="1" applyBorder="1" applyAlignment="1" applyProtection="1">
      <protection locked="0"/>
    </xf>
    <xf numFmtId="6" fontId="76" fillId="7" borderId="0" xfId="0" applyNumberFormat="1" applyFont="1" applyFill="1" applyBorder="1" applyAlignment="1" applyProtection="1">
      <protection locked="0"/>
    </xf>
    <xf numFmtId="6" fontId="49" fillId="7" borderId="0" xfId="2" applyNumberFormat="1" applyFont="1" applyFill="1" applyBorder="1" applyAlignment="1" applyProtection="1">
      <protection locked="0"/>
    </xf>
    <xf numFmtId="164" fontId="49" fillId="7" borderId="0" xfId="2" applyNumberFormat="1" applyFont="1" applyFill="1" applyBorder="1" applyAlignment="1" applyProtection="1">
      <protection locked="0"/>
    </xf>
    <xf numFmtId="0" fontId="77" fillId="8" borderId="5" xfId="0" applyFont="1" applyFill="1" applyBorder="1" applyAlignment="1" applyProtection="1">
      <alignment horizontal="center"/>
      <protection locked="0"/>
    </xf>
    <xf numFmtId="0" fontId="78" fillId="8" borderId="18" xfId="0" applyFont="1" applyFill="1" applyBorder="1" applyAlignment="1" applyProtection="1">
      <alignment horizontal="center"/>
      <protection locked="0"/>
    </xf>
    <xf numFmtId="0" fontId="79" fillId="8" borderId="0" xfId="0" applyFont="1" applyFill="1" applyBorder="1" applyAlignment="1" applyProtection="1">
      <protection locked="0"/>
    </xf>
    <xf numFmtId="164" fontId="79" fillId="8" borderId="0" xfId="2" applyNumberFormat="1" applyFont="1" applyFill="1" applyBorder="1" applyAlignment="1" applyProtection="1">
      <protection locked="0"/>
    </xf>
    <xf numFmtId="6" fontId="79" fillId="8" borderId="0" xfId="0" applyNumberFormat="1" applyFont="1" applyFill="1" applyBorder="1" applyAlignment="1" applyProtection="1">
      <protection locked="0"/>
    </xf>
    <xf numFmtId="6" fontId="80" fillId="8" borderId="0" xfId="0" applyNumberFormat="1" applyFont="1" applyFill="1" applyBorder="1" applyAlignment="1" applyProtection="1">
      <protection locked="0"/>
    </xf>
    <xf numFmtId="6" fontId="81" fillId="8" borderId="0" xfId="2" applyNumberFormat="1" applyFont="1" applyFill="1" applyBorder="1" applyAlignment="1" applyProtection="1">
      <protection locked="0"/>
    </xf>
    <xf numFmtId="164" fontId="81" fillId="8" borderId="0" xfId="2" applyNumberFormat="1" applyFont="1" applyFill="1" applyBorder="1" applyAlignment="1" applyProtection="1">
      <protection locked="0"/>
    </xf>
    <xf numFmtId="14" fontId="45" fillId="0" borderId="18" xfId="0" applyNumberFormat="1" applyFont="1" applyFill="1" applyBorder="1" applyAlignment="1" applyProtection="1">
      <protection locked="0"/>
    </xf>
    <xf numFmtId="166" fontId="82" fillId="5" borderId="0" xfId="0" applyNumberFormat="1" applyFont="1" applyFill="1" applyBorder="1" applyAlignment="1" applyProtection="1">
      <protection locked="0"/>
    </xf>
    <xf numFmtId="6" fontId="61" fillId="0" borderId="0" xfId="0" applyNumberFormat="1" applyFont="1" applyFill="1" applyBorder="1" applyAlignment="1" applyProtection="1">
      <protection locked="0"/>
    </xf>
    <xf numFmtId="0" fontId="83" fillId="0" borderId="0" xfId="0" applyFont="1" applyFill="1" applyBorder="1" applyAlignment="1" applyProtection="1">
      <protection locked="0"/>
    </xf>
    <xf numFmtId="0" fontId="84" fillId="7" borderId="0" xfId="0" applyFont="1" applyFill="1" applyBorder="1" applyAlignment="1" applyProtection="1">
      <protection locked="0"/>
    </xf>
    <xf numFmtId="0" fontId="85" fillId="8" borderId="0" xfId="0" applyFont="1" applyFill="1" applyBorder="1" applyAlignment="1" applyProtection="1">
      <protection locked="0"/>
    </xf>
    <xf numFmtId="164" fontId="86" fillId="0" borderId="0" xfId="0" applyNumberFormat="1" applyFont="1" applyFill="1" applyBorder="1" applyAlignment="1" applyProtection="1">
      <protection locked="0"/>
    </xf>
    <xf numFmtId="164" fontId="58" fillId="0" borderId="0" xfId="2" applyNumberFormat="1" applyFont="1" applyFill="1" applyBorder="1" applyAlignment="1" applyProtection="1">
      <alignment horizontal="center"/>
      <protection locked="0"/>
    </xf>
    <xf numFmtId="0" fontId="57" fillId="0" borderId="0" xfId="0" applyFont="1" applyFill="1" applyBorder="1" applyAlignment="1" applyProtection="1">
      <alignment horizontal="center"/>
      <protection locked="0"/>
    </xf>
    <xf numFmtId="164" fontId="7" fillId="0" borderId="7" xfId="2" applyNumberFormat="1" applyFont="1" applyFill="1" applyBorder="1" applyAlignment="1" applyProtection="1">
      <protection locked="0"/>
    </xf>
    <xf numFmtId="0" fontId="4" fillId="0" borderId="7" xfId="0" applyFont="1" applyFill="1" applyBorder="1" applyAlignment="1" applyProtection="1">
      <protection locked="0"/>
    </xf>
    <xf numFmtId="6" fontId="4" fillId="0" borderId="7" xfId="0" applyNumberFormat="1" applyFont="1" applyFill="1" applyBorder="1" applyAlignment="1" applyProtection="1">
      <protection locked="0"/>
    </xf>
    <xf numFmtId="164" fontId="4" fillId="0" borderId="7" xfId="2" applyNumberFormat="1" applyFont="1" applyFill="1" applyBorder="1" applyAlignment="1" applyProtection="1">
      <protection locked="0"/>
    </xf>
    <xf numFmtId="164" fontId="31" fillId="0" borderId="7" xfId="0" applyNumberFormat="1" applyFont="1" applyFill="1" applyBorder="1" applyAlignment="1" applyProtection="1">
      <protection locked="0"/>
    </xf>
    <xf numFmtId="0" fontId="46" fillId="0" borderId="20" xfId="0" applyFont="1" applyFill="1" applyBorder="1" applyAlignment="1" applyProtection="1">
      <alignment horizontal="left"/>
      <protection locked="0"/>
    </xf>
    <xf numFmtId="0" fontId="45" fillId="0" borderId="20" xfId="0" applyFont="1" applyFill="1" applyBorder="1" applyAlignment="1" applyProtection="1">
      <alignment horizontal="left"/>
      <protection locked="0"/>
    </xf>
    <xf numFmtId="0" fontId="89" fillId="0" borderId="0" xfId="0" applyFont="1" applyFill="1" applyBorder="1" applyAlignment="1" applyProtection="1">
      <protection locked="0"/>
    </xf>
    <xf numFmtId="6" fontId="90" fillId="0" borderId="0" xfId="0" applyNumberFormat="1" applyFont="1" applyFill="1" applyBorder="1" applyAlignment="1" applyProtection="1">
      <protection locked="0"/>
    </xf>
    <xf numFmtId="6" fontId="89" fillId="0" borderId="0" xfId="0" applyNumberFormat="1" applyFont="1" applyFill="1" applyBorder="1" applyAlignment="1" applyProtection="1">
      <protection locked="0"/>
    </xf>
    <xf numFmtId="0" fontId="87" fillId="0" borderId="0" xfId="0" applyFont="1" applyFill="1" applyBorder="1" applyAlignment="1" applyProtection="1">
      <protection locked="0"/>
    </xf>
    <xf numFmtId="0" fontId="88" fillId="0" borderId="0" xfId="0" applyFont="1" applyFill="1" applyBorder="1" applyAlignment="1" applyProtection="1">
      <protection locked="0"/>
    </xf>
    <xf numFmtId="0" fontId="88" fillId="7" borderId="0" xfId="0" applyFont="1" applyFill="1" applyBorder="1" applyAlignment="1" applyProtection="1">
      <protection locked="0"/>
    </xf>
    <xf numFmtId="0" fontId="91" fillId="8" borderId="0" xfId="0" applyFont="1" applyFill="1" applyBorder="1" applyAlignment="1" applyProtection="1">
      <protection locked="0"/>
    </xf>
    <xf numFmtId="164" fontId="92" fillId="0" borderId="0" xfId="0" applyNumberFormat="1" applyFont="1" applyFill="1" applyBorder="1" applyAlignment="1" applyProtection="1">
      <protection locked="0"/>
    </xf>
    <xf numFmtId="164" fontId="93" fillId="0" borderId="0" xfId="2" applyNumberFormat="1" applyFont="1" applyFill="1" applyBorder="1" applyAlignment="1" applyProtection="1">
      <protection locked="0"/>
    </xf>
    <xf numFmtId="166" fontId="0" fillId="0" borderId="0" xfId="0" applyNumberFormat="1"/>
    <xf numFmtId="0" fontId="89" fillId="0" borderId="20" xfId="0" applyFont="1" applyFill="1" applyBorder="1" applyAlignment="1" applyProtection="1">
      <alignment horizontal="left"/>
      <protection locked="0"/>
    </xf>
    <xf numFmtId="0" fontId="45" fillId="0" borderId="17" xfId="0" applyFont="1" applyFill="1" applyBorder="1" applyAlignment="1" applyProtection="1">
      <alignment horizontal="left"/>
      <protection locked="0"/>
    </xf>
    <xf numFmtId="0" fontId="47" fillId="0" borderId="18" xfId="0" applyFont="1" applyFill="1" applyBorder="1" applyAlignment="1" applyProtection="1">
      <protection locked="0"/>
    </xf>
    <xf numFmtId="0" fontId="59" fillId="0" borderId="18" xfId="0" applyFont="1" applyFill="1" applyBorder="1" applyAlignment="1" applyProtection="1">
      <protection locked="0"/>
    </xf>
    <xf numFmtId="0" fontId="55" fillId="0" borderId="18" xfId="0" applyFont="1" applyFill="1" applyBorder="1" applyAlignment="1" applyProtection="1">
      <protection locked="0"/>
    </xf>
    <xf numFmtId="0" fontId="63" fillId="0" borderId="18" xfId="0" applyFont="1" applyFill="1" applyBorder="1" applyAlignment="1" applyProtection="1">
      <protection locked="0"/>
    </xf>
    <xf numFmtId="0" fontId="76" fillId="7" borderId="18" xfId="0" applyFont="1" applyFill="1" applyBorder="1" applyAlignment="1" applyProtection="1">
      <protection locked="0"/>
    </xf>
    <xf numFmtId="0" fontId="79" fillId="8" borderId="18" xfId="0" applyFont="1" applyFill="1" applyBorder="1" applyAlignment="1" applyProtection="1">
      <protection locked="0"/>
    </xf>
    <xf numFmtId="0" fontId="34" fillId="0" borderId="18" xfId="0" applyFont="1" applyFill="1" applyBorder="1" applyAlignment="1" applyProtection="1">
      <protection locked="0"/>
    </xf>
    <xf numFmtId="0" fontId="4" fillId="0" borderId="19" xfId="0" applyFont="1" applyFill="1" applyBorder="1" applyAlignment="1" applyProtection="1">
      <protection locked="0"/>
    </xf>
    <xf numFmtId="9" fontId="34" fillId="5" borderId="0" xfId="3" applyFont="1" applyFill="1" applyBorder="1" applyAlignment="1" applyProtection="1">
      <protection locked="0"/>
    </xf>
    <xf numFmtId="169" fontId="0" fillId="0" borderId="0" xfId="0" applyNumberFormat="1"/>
    <xf numFmtId="0" fontId="33" fillId="0" borderId="0" xfId="0" applyFont="1" applyAlignment="1">
      <alignment horizontal="center"/>
    </xf>
    <xf numFmtId="14" fontId="45" fillId="0" borderId="0" xfId="0" applyNumberFormat="1" applyFont="1" applyFill="1" applyBorder="1" applyAlignment="1" applyProtection="1">
      <protection locked="0"/>
    </xf>
    <xf numFmtId="0" fontId="75" fillId="7" borderId="0" xfId="0" applyFont="1" applyFill="1" applyBorder="1" applyAlignment="1" applyProtection="1">
      <alignment horizontal="center"/>
      <protection locked="0"/>
    </xf>
    <xf numFmtId="0" fontId="78" fillId="8" borderId="0" xfId="0" applyFont="1" applyFill="1" applyBorder="1" applyAlignment="1" applyProtection="1">
      <alignment horizontal="center"/>
      <protection locked="0"/>
    </xf>
    <xf numFmtId="38" fontId="74" fillId="0" borderId="7" xfId="2" applyNumberFormat="1" applyFont="1" applyFill="1" applyBorder="1" applyAlignment="1" applyProtection="1">
      <alignment horizontal="center" vertical="center"/>
      <protection locked="0"/>
    </xf>
    <xf numFmtId="38" fontId="48" fillId="0" borderId="0" xfId="2" applyNumberFormat="1" applyFont="1" applyFill="1" applyBorder="1" applyAlignment="1" applyProtection="1">
      <alignment vertical="center"/>
      <protection locked="0"/>
    </xf>
    <xf numFmtId="166" fontId="57" fillId="5" borderId="0" xfId="0" applyNumberFormat="1" applyFont="1" applyFill="1" applyBorder="1" applyAlignment="1" applyProtection="1">
      <alignment horizontal="center"/>
      <protection locked="0"/>
    </xf>
    <xf numFmtId="9" fontId="57" fillId="5" borderId="0" xfId="3" applyFont="1" applyFill="1" applyBorder="1" applyAlignment="1" applyProtection="1">
      <alignment horizontal="center"/>
      <protection locked="0"/>
    </xf>
    <xf numFmtId="166" fontId="95" fillId="5" borderId="0" xfId="0" applyNumberFormat="1" applyFont="1" applyFill="1" applyBorder="1" applyAlignment="1" applyProtection="1">
      <alignment horizontal="center"/>
      <protection locked="0"/>
    </xf>
    <xf numFmtId="9" fontId="96" fillId="5" borderId="0" xfId="3" applyFont="1" applyFill="1" applyBorder="1" applyAlignment="1" applyProtection="1">
      <alignment horizontal="center"/>
      <protection locked="0"/>
    </xf>
    <xf numFmtId="166" fontId="96" fillId="5" borderId="0" xfId="0" applyNumberFormat="1" applyFont="1" applyFill="1" applyBorder="1" applyAlignment="1" applyProtection="1">
      <alignment horizontal="center"/>
      <protection locked="0"/>
    </xf>
    <xf numFmtId="6" fontId="54" fillId="0" borderId="0" xfId="2" applyNumberFormat="1" applyFont="1" applyFill="1" applyBorder="1" applyAlignment="1" applyProtection="1">
      <protection locked="0"/>
    </xf>
    <xf numFmtId="6" fontId="62" fillId="0" borderId="0" xfId="2" applyNumberFormat="1" applyFont="1" applyFill="1" applyBorder="1" applyAlignment="1" applyProtection="1">
      <protection locked="0"/>
    </xf>
    <xf numFmtId="0" fontId="111" fillId="0" borderId="0" xfId="0" applyFont="1" applyFill="1" applyBorder="1" applyAlignment="1" applyProtection="1">
      <protection locked="0"/>
    </xf>
    <xf numFmtId="6" fontId="113" fillId="4" borderId="0" xfId="2" applyNumberFormat="1" applyFont="1" applyFill="1" applyBorder="1" applyAlignment="1" applyProtection="1">
      <protection locked="0"/>
    </xf>
    <xf numFmtId="6" fontId="114" fillId="4" borderId="0" xfId="2" applyNumberFormat="1" applyFont="1" applyFill="1" applyBorder="1" applyAlignment="1" applyProtection="1">
      <protection locked="0"/>
    </xf>
    <xf numFmtId="0" fontId="115" fillId="4" borderId="0" xfId="0" applyFont="1" applyFill="1" applyBorder="1" applyAlignment="1" applyProtection="1">
      <protection locked="0"/>
    </xf>
    <xf numFmtId="6" fontId="118" fillId="4" borderId="0" xfId="2" applyNumberFormat="1" applyFont="1" applyFill="1" applyBorder="1" applyAlignment="1" applyProtection="1">
      <alignment horizontal="center"/>
      <protection locked="0"/>
    </xf>
    <xf numFmtId="166" fontId="119" fillId="0" borderId="0" xfId="2" applyNumberFormat="1" applyFont="1" applyFill="1" applyBorder="1" applyAlignment="1" applyProtection="1">
      <protection locked="0"/>
    </xf>
    <xf numFmtId="166" fontId="120" fillId="0" borderId="0" xfId="2" applyNumberFormat="1" applyFont="1" applyFill="1" applyBorder="1" applyAlignment="1" applyProtection="1">
      <protection locked="0"/>
    </xf>
    <xf numFmtId="166" fontId="119" fillId="0" borderId="0" xfId="2" applyNumberFormat="1" applyFont="1" applyFill="1" applyBorder="1" applyAlignment="1" applyProtection="1">
      <alignment horizontal="right"/>
      <protection locked="0"/>
    </xf>
    <xf numFmtId="166" fontId="121" fillId="0" borderId="0" xfId="2" applyNumberFormat="1" applyFont="1" applyFill="1" applyBorder="1" applyAlignment="1" applyProtection="1">
      <protection locked="0"/>
    </xf>
    <xf numFmtId="0" fontId="94" fillId="0" borderId="0" xfId="0" applyFont="1" applyFill="1" applyBorder="1" applyAlignment="1" applyProtection="1">
      <alignment horizontal="left"/>
      <protection locked="0"/>
    </xf>
    <xf numFmtId="0" fontId="115" fillId="0" borderId="0" xfId="0" applyFont="1" applyFill="1" applyBorder="1" applyAlignment="1" applyProtection="1">
      <protection locked="0"/>
    </xf>
    <xf numFmtId="0" fontId="0" fillId="0" borderId="0" xfId="0" applyAlignment="1">
      <alignment horizontal="left" indent="1"/>
    </xf>
    <xf numFmtId="0" fontId="123" fillId="0" borderId="0" xfId="0" applyFont="1" applyAlignment="1">
      <alignment horizontal="left" indent="1"/>
    </xf>
    <xf numFmtId="6" fontId="123" fillId="0" borderId="0" xfId="0" applyNumberFormat="1" applyFont="1" applyAlignment="1">
      <alignment horizontal="left" indent="1"/>
    </xf>
    <xf numFmtId="166" fontId="124" fillId="0" borderId="0" xfId="0" applyNumberFormat="1" applyFont="1"/>
    <xf numFmtId="0" fontId="110" fillId="0" borderId="0" xfId="0" applyFont="1"/>
    <xf numFmtId="166" fontId="110" fillId="0" borderId="0" xfId="0" applyNumberFormat="1" applyFont="1"/>
    <xf numFmtId="6" fontId="112" fillId="0" borderId="0" xfId="2" applyNumberFormat="1" applyFont="1" applyFill="1" applyBorder="1" applyAlignment="1" applyProtection="1">
      <protection locked="0"/>
    </xf>
    <xf numFmtId="38" fontId="1" fillId="0" borderId="0" xfId="0" applyNumberFormat="1" applyFont="1" applyFill="1" applyBorder="1" applyAlignment="1" applyProtection="1">
      <protection locked="0"/>
    </xf>
    <xf numFmtId="38" fontId="3" fillId="0" borderId="0" xfId="0" applyNumberFormat="1" applyFont="1" applyFill="1" applyBorder="1" applyAlignment="1" applyProtection="1">
      <protection locked="0"/>
    </xf>
    <xf numFmtId="0" fontId="126" fillId="7" borderId="0" xfId="0" applyFont="1" applyFill="1" applyBorder="1" applyAlignment="1" applyProtection="1">
      <alignment horizontal="center"/>
      <protection locked="0"/>
    </xf>
    <xf numFmtId="164" fontId="127" fillId="7" borderId="0" xfId="2" applyNumberFormat="1" applyFont="1" applyFill="1" applyBorder="1" applyAlignment="1" applyProtection="1">
      <protection locked="0"/>
    </xf>
    <xf numFmtId="164" fontId="128" fillId="7" borderId="0" xfId="2" applyNumberFormat="1" applyFont="1" applyFill="1" applyBorder="1" applyAlignment="1" applyProtection="1">
      <protection locked="0"/>
    </xf>
    <xf numFmtId="164" fontId="129" fillId="7" borderId="0" xfId="2" applyNumberFormat="1" applyFont="1" applyFill="1" applyBorder="1" applyAlignment="1" applyProtection="1">
      <protection locked="0"/>
    </xf>
    <xf numFmtId="0" fontId="127" fillId="7" borderId="0" xfId="0" applyFont="1" applyFill="1" applyBorder="1" applyAlignment="1" applyProtection="1">
      <protection locked="0"/>
    </xf>
    <xf numFmtId="0" fontId="127" fillId="0" borderId="0" xfId="0" applyFont="1" applyFill="1" applyBorder="1" applyAlignment="1" applyProtection="1">
      <protection locked="0"/>
    </xf>
    <xf numFmtId="0" fontId="131" fillId="7" borderId="0" xfId="0" applyFont="1" applyFill="1" applyBorder="1" applyAlignment="1" applyProtection="1">
      <alignment horizontal="center"/>
      <protection locked="0"/>
    </xf>
    <xf numFmtId="0" fontId="102" fillId="0" borderId="0" xfId="0" applyFont="1" applyFill="1" applyBorder="1" applyAlignment="1" applyProtection="1">
      <alignment horizontal="left"/>
      <protection locked="0"/>
    </xf>
    <xf numFmtId="0" fontId="103" fillId="0" borderId="21" xfId="0" applyFont="1" applyBorder="1"/>
    <xf numFmtId="0" fontId="104" fillId="0" borderId="0" xfId="0" applyFont="1"/>
    <xf numFmtId="0" fontId="103" fillId="9" borderId="22" xfId="0" applyFont="1" applyFill="1" applyBorder="1"/>
    <xf numFmtId="0" fontId="103" fillId="9" borderId="23" xfId="0" applyFont="1" applyFill="1" applyBorder="1"/>
    <xf numFmtId="166" fontId="104" fillId="0" borderId="0" xfId="0" applyNumberFormat="1" applyFont="1"/>
    <xf numFmtId="0" fontId="103" fillId="0" borderId="0" xfId="0" applyFont="1" applyFill="1" applyBorder="1"/>
    <xf numFmtId="0" fontId="104" fillId="0" borderId="0" xfId="0" applyFont="1" applyFill="1"/>
    <xf numFmtId="166" fontId="104" fillId="0" borderId="0" xfId="0" applyNumberFormat="1" applyFont="1" applyFill="1"/>
    <xf numFmtId="166" fontId="103" fillId="0" borderId="21" xfId="0" applyNumberFormat="1" applyFont="1" applyBorder="1"/>
    <xf numFmtId="166" fontId="103" fillId="9" borderId="24" xfId="0" applyNumberFormat="1" applyFont="1" applyFill="1" applyBorder="1" applyAlignment="1">
      <alignment horizontal="center"/>
    </xf>
    <xf numFmtId="0" fontId="132" fillId="0" borderId="0" xfId="0" applyFont="1"/>
    <xf numFmtId="0" fontId="104" fillId="0" borderId="21" xfId="0" applyFont="1" applyBorder="1"/>
    <xf numFmtId="166" fontId="104" fillId="0" borderId="21" xfId="0" applyNumberFormat="1" applyFont="1" applyBorder="1"/>
    <xf numFmtId="166" fontId="104" fillId="9" borderId="21" xfId="0" applyNumberFormat="1" applyFont="1" applyFill="1" applyBorder="1"/>
    <xf numFmtId="0" fontId="132" fillId="0" borderId="0" xfId="0" applyFont="1" applyAlignment="1">
      <alignment wrapText="1"/>
    </xf>
    <xf numFmtId="0" fontId="103" fillId="0" borderId="21" xfId="0" applyFont="1" applyBorder="1" applyAlignment="1">
      <alignment horizontal="right"/>
    </xf>
    <xf numFmtId="166" fontId="103" fillId="9" borderId="21" xfId="0" applyNumberFormat="1" applyFont="1" applyFill="1" applyBorder="1"/>
    <xf numFmtId="0" fontId="103" fillId="0" borderId="21" xfId="0" applyFont="1" applyBorder="1" applyAlignment="1">
      <alignment horizontal="left"/>
    </xf>
    <xf numFmtId="166" fontId="103" fillId="0" borderId="0" xfId="0" applyNumberFormat="1" applyFont="1" applyBorder="1"/>
    <xf numFmtId="166" fontId="103" fillId="0" borderId="0" xfId="0" applyNumberFormat="1" applyFont="1" applyFill="1" applyBorder="1"/>
    <xf numFmtId="166" fontId="103" fillId="0" borderId="21" xfId="0" applyNumberFormat="1" applyFont="1" applyFill="1" applyBorder="1"/>
    <xf numFmtId="166" fontId="132" fillId="0" borderId="0" xfId="0" applyNumberFormat="1" applyFont="1"/>
    <xf numFmtId="0" fontId="104" fillId="0" borderId="0" xfId="0" applyFont="1" applyBorder="1"/>
    <xf numFmtId="166" fontId="104" fillId="0" borderId="0" xfId="0" applyNumberFormat="1" applyFont="1" applyBorder="1"/>
    <xf numFmtId="166" fontId="104" fillId="0" borderId="0" xfId="0" applyNumberFormat="1" applyFont="1" applyFill="1" applyBorder="1"/>
    <xf numFmtId="3" fontId="104" fillId="0" borderId="21" xfId="0" applyNumberFormat="1" applyFont="1" applyBorder="1"/>
    <xf numFmtId="0" fontId="104" fillId="9" borderId="21" xfId="0" applyFont="1" applyFill="1" applyBorder="1"/>
    <xf numFmtId="3" fontId="104" fillId="0" borderId="0" xfId="0" applyNumberFormat="1" applyFont="1"/>
    <xf numFmtId="1" fontId="104" fillId="0" borderId="0" xfId="0" applyNumberFormat="1" applyFont="1" applyBorder="1"/>
    <xf numFmtId="0" fontId="104" fillId="0" borderId="0" xfId="0" applyNumberFormat="1" applyFont="1" applyAlignment="1">
      <alignment horizontal="left"/>
    </xf>
    <xf numFmtId="3" fontId="104" fillId="0" borderId="0" xfId="0" applyNumberFormat="1" applyFont="1" applyAlignment="1">
      <alignment horizontal="left"/>
    </xf>
    <xf numFmtId="1" fontId="104" fillId="0" borderId="0" xfId="0" applyNumberFormat="1" applyFont="1" applyAlignment="1">
      <alignment horizontal="left"/>
    </xf>
    <xf numFmtId="1" fontId="104" fillId="0" borderId="0" xfId="0" applyNumberFormat="1" applyFont="1"/>
    <xf numFmtId="3" fontId="103" fillId="0" borderId="21" xfId="0" applyNumberFormat="1" applyFont="1" applyBorder="1"/>
    <xf numFmtId="3" fontId="103" fillId="0" borderId="0" xfId="0" applyNumberFormat="1" applyFont="1" applyBorder="1"/>
    <xf numFmtId="3" fontId="104" fillId="0" borderId="0" xfId="0" applyNumberFormat="1" applyFont="1" applyBorder="1"/>
    <xf numFmtId="3" fontId="103" fillId="0" borderId="0" xfId="0" applyNumberFormat="1" applyFont="1"/>
    <xf numFmtId="3" fontId="132" fillId="0" borderId="0" xfId="0" applyNumberFormat="1" applyFont="1"/>
    <xf numFmtId="166" fontId="103" fillId="9" borderId="24" xfId="0" applyNumberFormat="1" applyFont="1" applyFill="1" applyBorder="1" applyAlignment="1">
      <alignment horizontal="center" wrapText="1"/>
    </xf>
    <xf numFmtId="166" fontId="103" fillId="0" borderId="21" xfId="0" applyNumberFormat="1" applyFont="1" applyBorder="1" applyAlignment="1">
      <alignment horizontal="center" wrapText="1"/>
    </xf>
    <xf numFmtId="166" fontId="133" fillId="0" borderId="21" xfId="0" applyNumberFormat="1" applyFont="1" applyBorder="1"/>
    <xf numFmtId="166" fontId="134" fillId="0" borderId="21" xfId="0" applyNumberFormat="1" applyFont="1" applyBorder="1"/>
    <xf numFmtId="6" fontId="115" fillId="4" borderId="0" xfId="2" applyNumberFormat="1" applyFont="1" applyFill="1" applyBorder="1" applyAlignment="1" applyProtection="1">
      <protection locked="0"/>
    </xf>
    <xf numFmtId="6" fontId="125" fillId="4" borderId="0" xfId="2" applyNumberFormat="1" applyFont="1" applyFill="1" applyBorder="1" applyAlignment="1" applyProtection="1">
      <alignment horizontal="center"/>
      <protection locked="0"/>
    </xf>
    <xf numFmtId="6" fontId="116" fillId="4" borderId="0" xfId="2" applyNumberFormat="1" applyFont="1" applyFill="1" applyBorder="1" applyAlignment="1" applyProtection="1">
      <protection locked="0"/>
    </xf>
    <xf numFmtId="166" fontId="135" fillId="0" borderId="0" xfId="2" applyNumberFormat="1" applyFont="1" applyFill="1" applyBorder="1" applyAlignment="1" applyProtection="1">
      <protection locked="0"/>
    </xf>
    <xf numFmtId="0" fontId="109" fillId="0" borderId="0" xfId="0" applyFont="1" applyFill="1" applyBorder="1" applyAlignment="1" applyProtection="1">
      <protection locked="0"/>
    </xf>
    <xf numFmtId="6" fontId="140" fillId="3" borderId="0" xfId="2" applyNumberFormat="1" applyFont="1" applyFill="1" applyBorder="1" applyAlignment="1" applyProtection="1">
      <protection locked="0"/>
    </xf>
    <xf numFmtId="38" fontId="1" fillId="0" borderId="0" xfId="0" applyNumberFormat="1" applyFont="1" applyFill="1" applyBorder="1" applyAlignment="1" applyProtection="1">
      <alignment horizontal="center"/>
      <protection locked="0"/>
    </xf>
    <xf numFmtId="0" fontId="31" fillId="0" borderId="0" xfId="0" applyFont="1" applyFill="1" applyBorder="1" applyAlignment="1" applyProtection="1">
      <protection locked="0"/>
    </xf>
    <xf numFmtId="0" fontId="142" fillId="0" borderId="0" xfId="0" applyFont="1" applyFill="1" applyBorder="1" applyAlignment="1" applyProtection="1">
      <protection locked="0"/>
    </xf>
    <xf numFmtId="38" fontId="3" fillId="0" borderId="0" xfId="0" applyNumberFormat="1" applyFont="1" applyFill="1" applyBorder="1" applyAlignment="1" applyProtection="1">
      <alignment vertical="center"/>
      <protection locked="0"/>
    </xf>
    <xf numFmtId="164" fontId="148" fillId="10" borderId="0" xfId="2" applyNumberFormat="1" applyFont="1" applyFill="1" applyBorder="1" applyAlignment="1" applyProtection="1">
      <protection locked="0"/>
    </xf>
    <xf numFmtId="0" fontId="98" fillId="0" borderId="0" xfId="0" applyFont="1" applyFill="1" applyBorder="1" applyAlignment="1" applyProtection="1">
      <alignment horizontal="center"/>
      <protection locked="0"/>
    </xf>
    <xf numFmtId="14" fontId="107" fillId="0" borderId="0" xfId="0" applyNumberFormat="1" applyFont="1" applyFill="1" applyBorder="1" applyAlignment="1" applyProtection="1">
      <alignment horizontal="center"/>
      <protection locked="0"/>
    </xf>
    <xf numFmtId="169" fontId="107" fillId="0" borderId="0" xfId="0" applyNumberFormat="1" applyFont="1" applyFill="1" applyBorder="1" applyAlignment="1" applyProtection="1">
      <alignment horizontal="center" vertical="center"/>
      <protection locked="0"/>
    </xf>
    <xf numFmtId="6" fontId="117" fillId="0" borderId="0" xfId="2" applyNumberFormat="1" applyFont="1" applyFill="1" applyBorder="1" applyAlignment="1" applyProtection="1">
      <protection locked="0"/>
    </xf>
    <xf numFmtId="164" fontId="108" fillId="0" borderId="0" xfId="2" applyNumberFormat="1" applyFont="1" applyFill="1" applyBorder="1" applyAlignment="1" applyProtection="1">
      <protection locked="0"/>
    </xf>
    <xf numFmtId="164" fontId="136" fillId="0" borderId="0" xfId="2" applyNumberFormat="1" applyFont="1" applyFill="1" applyBorder="1" applyAlignment="1" applyProtection="1">
      <protection locked="0"/>
    </xf>
    <xf numFmtId="164" fontId="138" fillId="0" borderId="0" xfId="2" applyNumberFormat="1" applyFont="1" applyFill="1" applyBorder="1" applyAlignment="1" applyProtection="1">
      <protection locked="0"/>
    </xf>
    <xf numFmtId="164" fontId="137" fillId="0" borderId="0" xfId="2" applyNumberFormat="1" applyFont="1" applyFill="1" applyBorder="1" applyAlignment="1" applyProtection="1">
      <protection locked="0"/>
    </xf>
    <xf numFmtId="43" fontId="136" fillId="0" borderId="0" xfId="1" applyFont="1" applyFill="1" applyBorder="1" applyAlignment="1" applyProtection="1">
      <protection locked="0"/>
    </xf>
    <xf numFmtId="0" fontId="31" fillId="0" borderId="0" xfId="0" applyFont="1" applyFill="1" applyBorder="1" applyAlignment="1" applyProtection="1">
      <alignment horizontal="center"/>
      <protection locked="0"/>
    </xf>
    <xf numFmtId="38" fontId="143" fillId="0" borderId="0" xfId="0" applyNumberFormat="1" applyFont="1" applyFill="1" applyBorder="1" applyAlignment="1" applyProtection="1">
      <protection locked="0"/>
    </xf>
    <xf numFmtId="38" fontId="143" fillId="0" borderId="0" xfId="0" applyNumberFormat="1" applyFont="1" applyFill="1" applyBorder="1" applyAlignment="1" applyProtection="1">
      <alignment vertical="center"/>
      <protection locked="0"/>
    </xf>
    <xf numFmtId="38" fontId="143" fillId="0" borderId="0" xfId="0" applyNumberFormat="1" applyFont="1" applyFill="1" applyBorder="1" applyAlignment="1" applyProtection="1">
      <alignment horizontal="center" wrapText="1"/>
      <protection locked="0"/>
    </xf>
    <xf numFmtId="165" fontId="5" fillId="10" borderId="22" xfId="0" applyNumberFormat="1" applyFont="1" applyFill="1" applyBorder="1" applyAlignment="1" applyProtection="1">
      <alignment horizontal="center"/>
      <protection locked="0"/>
    </xf>
    <xf numFmtId="0" fontId="46" fillId="10" borderId="25" xfId="0" applyFont="1" applyFill="1" applyBorder="1" applyAlignment="1" applyProtection="1">
      <alignment horizontal="left"/>
      <protection locked="0"/>
    </xf>
    <xf numFmtId="6" fontId="46" fillId="10" borderId="25" xfId="2" applyNumberFormat="1" applyFont="1" applyFill="1" applyBorder="1" applyAlignment="1" applyProtection="1">
      <protection locked="0"/>
    </xf>
    <xf numFmtId="6" fontId="60" fillId="10" borderId="25" xfId="2" applyNumberFormat="1" applyFont="1" applyFill="1" applyBorder="1" applyAlignment="1" applyProtection="1">
      <protection locked="0"/>
    </xf>
    <xf numFmtId="6" fontId="117" fillId="10" borderId="25" xfId="2" applyNumberFormat="1" applyFont="1" applyFill="1" applyBorder="1" applyAlignment="1" applyProtection="1">
      <protection locked="0"/>
    </xf>
    <xf numFmtId="6" fontId="112" fillId="10" borderId="25" xfId="2" applyNumberFormat="1" applyFont="1" applyFill="1" applyBorder="1" applyAlignment="1" applyProtection="1">
      <protection locked="0"/>
    </xf>
    <xf numFmtId="6" fontId="130" fillId="10" borderId="25" xfId="2" applyNumberFormat="1" applyFont="1" applyFill="1" applyBorder="1" applyAlignment="1" applyProtection="1">
      <protection locked="0"/>
    </xf>
    <xf numFmtId="166" fontId="122" fillId="10" borderId="25" xfId="2" applyNumberFormat="1" applyFont="1" applyFill="1" applyBorder="1" applyAlignment="1" applyProtection="1">
      <protection locked="0"/>
    </xf>
    <xf numFmtId="164" fontId="137" fillId="10" borderId="25" xfId="2" applyNumberFormat="1" applyFont="1" applyFill="1" applyBorder="1" applyAlignment="1" applyProtection="1">
      <protection locked="0"/>
    </xf>
    <xf numFmtId="38" fontId="1" fillId="10" borderId="25" xfId="0" applyNumberFormat="1" applyFont="1" applyFill="1" applyBorder="1" applyAlignment="1" applyProtection="1">
      <protection locked="0"/>
    </xf>
    <xf numFmtId="38" fontId="143" fillId="10" borderId="25" xfId="0" applyNumberFormat="1" applyFont="1" applyFill="1" applyBorder="1" applyAlignment="1" applyProtection="1">
      <protection locked="0"/>
    </xf>
    <xf numFmtId="166" fontId="142" fillId="10" borderId="25" xfId="0" applyNumberFormat="1" applyFont="1" applyFill="1" applyBorder="1" applyAlignment="1" applyProtection="1">
      <protection locked="0"/>
    </xf>
    <xf numFmtId="0" fontId="3" fillId="10" borderId="23" xfId="0" applyFont="1" applyFill="1" applyBorder="1" applyAlignment="1" applyProtection="1">
      <protection locked="0"/>
    </xf>
    <xf numFmtId="0" fontId="94" fillId="0" borderId="0" xfId="0" applyFont="1" applyFill="1" applyBorder="1" applyAlignment="1">
      <alignment horizontal="left" wrapText="1"/>
    </xf>
    <xf numFmtId="0" fontId="94" fillId="0" borderId="0" xfId="0" applyFont="1" applyFill="1" applyBorder="1" applyAlignment="1">
      <alignment horizontal="left"/>
    </xf>
    <xf numFmtId="0" fontId="34" fillId="0" borderId="0" xfId="0" applyFont="1" applyFill="1" applyBorder="1" applyAlignment="1">
      <alignment wrapText="1"/>
    </xf>
    <xf numFmtId="164" fontId="145" fillId="0" borderId="0" xfId="2" applyNumberFormat="1" applyFont="1"/>
    <xf numFmtId="37" fontId="149" fillId="0" borderId="0" xfId="0" applyNumberFormat="1" applyFont="1" applyFill="1" applyBorder="1" applyAlignment="1" applyProtection="1">
      <protection locked="0"/>
    </xf>
    <xf numFmtId="37" fontId="149" fillId="0" borderId="0" xfId="2" applyNumberFormat="1" applyFont="1" applyFill="1" applyBorder="1" applyAlignment="1" applyProtection="1">
      <protection locked="0"/>
    </xf>
    <xf numFmtId="37" fontId="149" fillId="0" borderId="0" xfId="0" applyNumberFormat="1" applyFont="1" applyFill="1" applyBorder="1" applyAlignment="1" applyProtection="1">
      <alignment horizontal="left"/>
      <protection locked="0"/>
    </xf>
    <xf numFmtId="37" fontId="149" fillId="0" borderId="0" xfId="0" applyNumberFormat="1" applyFont="1" applyFill="1" applyBorder="1" applyAlignment="1" applyProtection="1">
      <alignment horizontal="right"/>
      <protection locked="0"/>
    </xf>
    <xf numFmtId="37" fontId="149" fillId="0" borderId="0" xfId="0" applyNumberFormat="1" applyFont="1" applyFill="1" applyBorder="1"/>
    <xf numFmtId="37" fontId="149" fillId="0" borderId="0" xfId="2" applyNumberFormat="1" applyFont="1" applyFill="1" applyBorder="1" applyAlignment="1" applyProtection="1">
      <alignment horizontal="left"/>
      <protection locked="0"/>
    </xf>
    <xf numFmtId="37" fontId="149" fillId="0" borderId="0" xfId="2" applyNumberFormat="1" applyFont="1" applyFill="1" applyBorder="1" applyAlignment="1" applyProtection="1">
      <alignment horizontal="right"/>
      <protection locked="0"/>
    </xf>
    <xf numFmtId="37" fontId="150" fillId="0" borderId="0" xfId="0" applyNumberFormat="1" applyFont="1" applyFill="1" applyBorder="1" applyAlignment="1" applyProtection="1">
      <protection locked="0"/>
    </xf>
    <xf numFmtId="37" fontId="150" fillId="0" borderId="0" xfId="2" applyNumberFormat="1" applyFont="1" applyFill="1" applyBorder="1" applyAlignment="1" applyProtection="1">
      <protection locked="0"/>
    </xf>
    <xf numFmtId="37" fontId="151" fillId="0" borderId="0" xfId="0" applyNumberFormat="1" applyFont="1" applyFill="1" applyBorder="1" applyAlignment="1" applyProtection="1">
      <protection locked="0"/>
    </xf>
    <xf numFmtId="37" fontId="151" fillId="0" borderId="0" xfId="2" applyNumberFormat="1" applyFont="1" applyFill="1" applyBorder="1" applyAlignment="1" applyProtection="1">
      <protection locked="0"/>
    </xf>
    <xf numFmtId="0" fontId="146" fillId="0" borderId="0" xfId="1" applyNumberFormat="1" applyFont="1"/>
    <xf numFmtId="37" fontId="152" fillId="0" borderId="0" xfId="2" applyNumberFormat="1" applyFont="1" applyFill="1" applyBorder="1" applyAlignment="1" applyProtection="1">
      <protection locked="0"/>
    </xf>
    <xf numFmtId="37" fontId="153" fillId="0" borderId="0" xfId="2" applyNumberFormat="1" applyFont="1" applyFill="1" applyBorder="1" applyAlignment="1" applyProtection="1">
      <protection locked="0"/>
    </xf>
    <xf numFmtId="37" fontId="152" fillId="0" borderId="0" xfId="1" applyNumberFormat="1" applyFont="1" applyFill="1" applyBorder="1" applyAlignment="1" applyProtection="1">
      <protection locked="0"/>
    </xf>
    <xf numFmtId="37" fontId="152" fillId="0" borderId="0" xfId="0" applyNumberFormat="1" applyFont="1" applyFill="1" applyBorder="1" applyAlignment="1" applyProtection="1">
      <alignment wrapText="1"/>
      <protection locked="0"/>
    </xf>
    <xf numFmtId="37" fontId="152" fillId="0" borderId="0" xfId="0" applyNumberFormat="1" applyFont="1" applyFill="1" applyBorder="1" applyAlignment="1" applyProtection="1">
      <protection locked="0"/>
    </xf>
    <xf numFmtId="37" fontId="153" fillId="0" borderId="0" xfId="2" applyNumberFormat="1" applyFont="1" applyFill="1" applyBorder="1" applyAlignment="1" applyProtection="1">
      <alignment horizontal="right"/>
      <protection locked="0"/>
    </xf>
    <xf numFmtId="0" fontId="154" fillId="0" borderId="0" xfId="0" applyFont="1" applyFill="1" applyBorder="1"/>
    <xf numFmtId="164" fontId="154" fillId="0" borderId="0" xfId="2" applyNumberFormat="1" applyFont="1" applyFill="1" applyBorder="1"/>
    <xf numFmtId="37" fontId="147" fillId="0" borderId="0" xfId="0" applyNumberFormat="1" applyFont="1" applyFill="1" applyBorder="1" applyAlignment="1" applyProtection="1">
      <protection locked="0"/>
    </xf>
    <xf numFmtId="37" fontId="147" fillId="0" borderId="0" xfId="0" applyNumberFormat="1" applyFont="1" applyFill="1" applyBorder="1" applyAlignment="1" applyProtection="1">
      <alignment horizontal="left"/>
      <protection locked="0"/>
    </xf>
    <xf numFmtId="37" fontId="155" fillId="0" borderId="0" xfId="0" applyNumberFormat="1" applyFont="1" applyFill="1" applyBorder="1" applyAlignment="1" applyProtection="1">
      <protection locked="0"/>
    </xf>
    <xf numFmtId="166" fontId="156" fillId="0" borderId="0" xfId="0" applyNumberFormat="1" applyFont="1" applyFill="1" applyBorder="1" applyAlignment="1" applyProtection="1">
      <protection locked="0"/>
    </xf>
    <xf numFmtId="37" fontId="151" fillId="11" borderId="0" xfId="0" applyNumberFormat="1" applyFont="1" applyFill="1" applyBorder="1" applyAlignment="1" applyProtection="1">
      <protection locked="0"/>
    </xf>
    <xf numFmtId="37" fontId="157" fillId="0" borderId="0" xfId="0" applyNumberFormat="1" applyFont="1" applyFill="1" applyBorder="1" applyAlignment="1" applyProtection="1">
      <protection locked="0"/>
    </xf>
    <xf numFmtId="38" fontId="158" fillId="0" borderId="0" xfId="0" applyNumberFormat="1" applyFont="1" applyFill="1" applyBorder="1" applyAlignment="1" applyProtection="1">
      <protection locked="0"/>
    </xf>
    <xf numFmtId="0" fontId="159" fillId="0" borderId="0" xfId="0" applyFont="1" applyFill="1" applyBorder="1" applyAlignment="1" applyProtection="1">
      <alignment horizontal="center"/>
      <protection locked="0"/>
    </xf>
    <xf numFmtId="0" fontId="160" fillId="0" borderId="0" xfId="0" applyFont="1" applyFill="1" applyBorder="1" applyAlignment="1" applyProtection="1">
      <alignment vertical="center" wrapText="1"/>
      <protection locked="0"/>
    </xf>
    <xf numFmtId="0" fontId="161" fillId="0" borderId="0" xfId="0" applyFont="1" applyFill="1" applyBorder="1" applyAlignment="1" applyProtection="1">
      <protection locked="0"/>
    </xf>
    <xf numFmtId="0" fontId="162" fillId="0" borderId="0" xfId="0" applyFont="1" applyFill="1" applyBorder="1" applyAlignment="1" applyProtection="1">
      <alignment horizontal="center" vertical="center"/>
      <protection locked="0"/>
    </xf>
    <xf numFmtId="164" fontId="161" fillId="0" borderId="0" xfId="2" applyNumberFormat="1" applyFont="1" applyFill="1" applyBorder="1" applyAlignment="1" applyProtection="1">
      <protection locked="0"/>
    </xf>
    <xf numFmtId="0" fontId="163" fillId="0" borderId="0" xfId="0" applyFont="1" applyFill="1" applyBorder="1" applyAlignment="1" applyProtection="1">
      <alignment horizontal="center" vertical="center" wrapText="1"/>
      <protection locked="0"/>
    </xf>
    <xf numFmtId="38" fontId="164" fillId="0" borderId="0" xfId="0" applyNumberFormat="1" applyFont="1" applyFill="1" applyBorder="1" applyAlignment="1" applyProtection="1">
      <protection locked="0"/>
    </xf>
    <xf numFmtId="166" fontId="165" fillId="0" borderId="0" xfId="0" applyNumberFormat="1" applyFont="1" applyFill="1" applyBorder="1" applyAlignment="1" applyProtection="1">
      <alignment horizontal="center" vertical="center" wrapText="1"/>
      <protection locked="0"/>
    </xf>
    <xf numFmtId="166" fontId="166" fillId="0" borderId="0" xfId="0" applyNumberFormat="1" applyFont="1" applyFill="1" applyBorder="1" applyAlignment="1" applyProtection="1">
      <alignment horizontal="center" vertical="center" wrapText="1"/>
      <protection locked="0"/>
    </xf>
    <xf numFmtId="0" fontId="161" fillId="0" borderId="0" xfId="0" applyFont="1" applyFill="1" applyBorder="1" applyAlignment="1" applyProtection="1">
      <alignment horizontal="center" vertical="center"/>
      <protection locked="0"/>
    </xf>
    <xf numFmtId="165" fontId="159" fillId="0" borderId="0" xfId="0" applyNumberFormat="1" applyFont="1" applyFill="1" applyBorder="1" applyAlignment="1" applyProtection="1">
      <alignment horizontal="center"/>
      <protection locked="0"/>
    </xf>
    <xf numFmtId="6" fontId="168" fillId="0" borderId="0" xfId="2" applyNumberFormat="1" applyFont="1" applyFill="1" applyBorder="1" applyAlignment="1" applyProtection="1">
      <protection locked="0"/>
    </xf>
    <xf numFmtId="166" fontId="169" fillId="0" borderId="0" xfId="2" applyNumberFormat="1" applyFont="1" applyFill="1" applyBorder="1" applyAlignment="1" applyProtection="1">
      <protection locked="0"/>
    </xf>
    <xf numFmtId="38" fontId="170" fillId="0" borderId="0" xfId="0" applyNumberFormat="1" applyFont="1" applyFill="1" applyBorder="1" applyAlignment="1" applyProtection="1">
      <protection locked="0"/>
    </xf>
    <xf numFmtId="166" fontId="171" fillId="0" borderId="0" xfId="0" applyNumberFormat="1" applyFont="1" applyFill="1" applyBorder="1" applyAlignment="1" applyProtection="1">
      <protection locked="0"/>
    </xf>
    <xf numFmtId="166" fontId="172" fillId="0" borderId="0" xfId="0" applyNumberFormat="1" applyFont="1" applyFill="1" applyBorder="1" applyAlignment="1" applyProtection="1">
      <protection locked="0"/>
    </xf>
    <xf numFmtId="0" fontId="168" fillId="0" borderId="0" xfId="0" applyFont="1" applyFill="1" applyBorder="1" applyAlignment="1" applyProtection="1">
      <protection locked="0"/>
    </xf>
    <xf numFmtId="0" fontId="161" fillId="0" borderId="0" xfId="0" applyFont="1" applyFill="1" applyBorder="1" applyAlignment="1" applyProtection="1">
      <alignment horizontal="left"/>
      <protection locked="0"/>
    </xf>
    <xf numFmtId="38" fontId="170" fillId="0" borderId="0" xfId="0" applyNumberFormat="1" applyFont="1" applyFill="1" applyBorder="1" applyAlignment="1" applyProtection="1">
      <alignment vertical="center"/>
      <protection locked="0"/>
    </xf>
    <xf numFmtId="166" fontId="171" fillId="0" borderId="0" xfId="1" applyNumberFormat="1" applyFont="1" applyFill="1" applyBorder="1" applyAlignment="1" applyProtection="1">
      <protection locked="0"/>
    </xf>
    <xf numFmtId="166" fontId="172" fillId="0" borderId="0" xfId="1" applyNumberFormat="1" applyFont="1" applyFill="1" applyBorder="1" applyAlignment="1" applyProtection="1">
      <protection locked="0"/>
    </xf>
    <xf numFmtId="0" fontId="173" fillId="0" borderId="0" xfId="0" applyFont="1" applyFill="1" applyBorder="1" applyAlignment="1" applyProtection="1">
      <alignment horizontal="right"/>
      <protection locked="0"/>
    </xf>
    <xf numFmtId="6" fontId="174" fillId="0" borderId="0" xfId="2" applyNumberFormat="1" applyFont="1" applyFill="1" applyBorder="1" applyAlignment="1" applyProtection="1">
      <protection locked="0"/>
    </xf>
    <xf numFmtId="166" fontId="175" fillId="0" borderId="0" xfId="2" applyNumberFormat="1" applyFont="1" applyFill="1" applyBorder="1" applyAlignment="1" applyProtection="1">
      <protection locked="0"/>
    </xf>
    <xf numFmtId="38" fontId="174" fillId="0" borderId="0" xfId="0" applyNumberFormat="1" applyFont="1" applyFill="1" applyBorder="1" applyAlignment="1" applyProtection="1">
      <alignment vertical="center"/>
      <protection locked="0"/>
    </xf>
    <xf numFmtId="166" fontId="176" fillId="0" borderId="0" xfId="1" applyNumberFormat="1" applyFont="1" applyFill="1" applyBorder="1" applyAlignment="1" applyProtection="1">
      <protection locked="0"/>
    </xf>
    <xf numFmtId="166" fontId="174" fillId="0" borderId="0" xfId="1" applyNumberFormat="1" applyFont="1" applyFill="1" applyBorder="1" applyAlignment="1" applyProtection="1">
      <protection locked="0"/>
    </xf>
    <xf numFmtId="0" fontId="161" fillId="0" borderId="0" xfId="0" applyFont="1" applyFill="1" applyBorder="1" applyAlignment="1" applyProtection="1">
      <alignment vertical="center"/>
      <protection locked="0"/>
    </xf>
    <xf numFmtId="0" fontId="177" fillId="0" borderId="0" xfId="0" applyFont="1" applyFill="1" applyBorder="1" applyAlignment="1" applyProtection="1">
      <alignment horizontal="left"/>
      <protection locked="0"/>
    </xf>
    <xf numFmtId="166" fontId="178" fillId="0" borderId="0" xfId="1" applyNumberFormat="1" applyFont="1" applyFill="1" applyBorder="1" applyAlignment="1" applyProtection="1">
      <protection locked="0"/>
    </xf>
    <xf numFmtId="0" fontId="179" fillId="0" borderId="0" xfId="0" applyFont="1" applyFill="1" applyBorder="1" applyAlignment="1" applyProtection="1">
      <protection locked="0"/>
    </xf>
    <xf numFmtId="0" fontId="168" fillId="0" borderId="0" xfId="0" applyFont="1" applyFill="1" applyBorder="1" applyAlignment="1" applyProtection="1">
      <alignment horizontal="left"/>
      <protection locked="0"/>
    </xf>
    <xf numFmtId="166" fontId="180" fillId="0" borderId="0" xfId="2" applyNumberFormat="1" applyFont="1" applyFill="1" applyBorder="1" applyAlignment="1" applyProtection="1">
      <protection locked="0"/>
    </xf>
    <xf numFmtId="38" fontId="181" fillId="0" borderId="0" xfId="0" applyNumberFormat="1" applyFont="1" applyFill="1" applyBorder="1" applyAlignment="1" applyProtection="1">
      <protection locked="0"/>
    </xf>
    <xf numFmtId="166" fontId="171" fillId="0" borderId="0" xfId="2" applyNumberFormat="1" applyFont="1" applyFill="1" applyBorder="1" applyAlignment="1" applyProtection="1">
      <protection locked="0"/>
    </xf>
    <xf numFmtId="166" fontId="172" fillId="0" borderId="0" xfId="2" applyNumberFormat="1" applyFont="1" applyFill="1" applyBorder="1" applyAlignment="1" applyProtection="1">
      <protection locked="0"/>
    </xf>
    <xf numFmtId="0" fontId="182" fillId="0" borderId="0" xfId="0" applyFont="1" applyFill="1" applyBorder="1" applyAlignment="1" applyProtection="1">
      <alignment horizontal="left"/>
      <protection locked="0"/>
    </xf>
    <xf numFmtId="6" fontId="183" fillId="0" borderId="0" xfId="0" applyNumberFormat="1" applyFont="1" applyFill="1" applyBorder="1" applyAlignment="1" applyProtection="1">
      <protection locked="0"/>
    </xf>
    <xf numFmtId="166" fontId="184" fillId="0" borderId="0" xfId="0" applyNumberFormat="1" applyFont="1" applyFill="1" applyBorder="1" applyAlignment="1" applyProtection="1">
      <protection locked="0"/>
    </xf>
    <xf numFmtId="166" fontId="185" fillId="0" borderId="0" xfId="0" applyNumberFormat="1" applyFont="1" applyFill="1" applyBorder="1" applyAlignment="1" applyProtection="1">
      <protection locked="0"/>
    </xf>
    <xf numFmtId="166" fontId="186" fillId="0" borderId="0" xfId="0" applyNumberFormat="1" applyFont="1" applyFill="1" applyBorder="1" applyAlignment="1" applyProtection="1">
      <protection locked="0"/>
    </xf>
    <xf numFmtId="0" fontId="187" fillId="0" borderId="0" xfId="0" applyFont="1" applyFill="1" applyBorder="1" applyAlignment="1" applyProtection="1">
      <alignment horizontal="left" wrapText="1"/>
      <protection locked="0"/>
    </xf>
    <xf numFmtId="166" fontId="188" fillId="0" borderId="0" xfId="0" applyNumberFormat="1" applyFont="1" applyFill="1" applyBorder="1" applyAlignment="1" applyProtection="1">
      <protection locked="0"/>
    </xf>
    <xf numFmtId="0" fontId="187" fillId="0" borderId="0" xfId="0" applyFont="1" applyFill="1" applyBorder="1" applyAlignment="1" applyProtection="1">
      <alignment horizontal="left"/>
      <protection locked="0"/>
    </xf>
    <xf numFmtId="166" fontId="188" fillId="0" borderId="0" xfId="0" applyNumberFormat="1" applyFont="1" applyFill="1" applyBorder="1" applyAlignment="1" applyProtection="1">
      <alignment horizontal="right"/>
      <protection locked="0"/>
    </xf>
    <xf numFmtId="6" fontId="161" fillId="0" borderId="0" xfId="2" applyNumberFormat="1" applyFont="1" applyFill="1" applyBorder="1" applyAlignment="1" applyProtection="1">
      <protection locked="0"/>
    </xf>
    <xf numFmtId="166" fontId="169" fillId="0" borderId="0" xfId="0" applyNumberFormat="1" applyFont="1" applyFill="1" applyBorder="1" applyAlignment="1" applyProtection="1">
      <protection locked="0"/>
    </xf>
    <xf numFmtId="166" fontId="189" fillId="0" borderId="0" xfId="0" applyNumberFormat="1" applyFont="1" applyFill="1" applyBorder="1" applyAlignment="1" applyProtection="1">
      <protection locked="0"/>
    </xf>
    <xf numFmtId="166" fontId="190" fillId="0" borderId="0" xfId="2" applyNumberFormat="1" applyFont="1" applyFill="1" applyBorder="1" applyAlignment="1" applyProtection="1">
      <protection locked="0"/>
    </xf>
    <xf numFmtId="38" fontId="170" fillId="0" borderId="0" xfId="3" applyNumberFormat="1" applyFont="1" applyFill="1" applyBorder="1" applyAlignment="1" applyProtection="1">
      <protection locked="0"/>
    </xf>
    <xf numFmtId="165" fontId="191" fillId="0" borderId="0" xfId="0" applyNumberFormat="1" applyFont="1" applyFill="1" applyBorder="1" applyAlignment="1" applyProtection="1">
      <alignment horizontal="right"/>
      <protection locked="0"/>
    </xf>
    <xf numFmtId="0" fontId="173" fillId="0" borderId="0" xfId="0" applyFont="1" applyFill="1" applyBorder="1" applyAlignment="1" applyProtection="1">
      <alignment horizontal="right" vertical="center"/>
      <protection locked="0"/>
    </xf>
    <xf numFmtId="6" fontId="174" fillId="0" borderId="0" xfId="2" applyNumberFormat="1" applyFont="1" applyFill="1" applyBorder="1" applyAlignment="1" applyProtection="1">
      <alignment horizontal="right"/>
      <protection locked="0"/>
    </xf>
    <xf numFmtId="166" fontId="175" fillId="0" borderId="0" xfId="2" applyNumberFormat="1" applyFont="1" applyFill="1" applyBorder="1" applyAlignment="1" applyProtection="1">
      <alignment horizontal="right"/>
      <protection locked="0"/>
    </xf>
    <xf numFmtId="38" fontId="174" fillId="0" borderId="0" xfId="3" applyNumberFormat="1" applyFont="1" applyFill="1" applyBorder="1" applyAlignment="1" applyProtection="1">
      <alignment horizontal="right"/>
      <protection locked="0"/>
    </xf>
    <xf numFmtId="166" fontId="176" fillId="0" borderId="0" xfId="0" applyNumberFormat="1" applyFont="1" applyFill="1" applyBorder="1" applyAlignment="1" applyProtection="1">
      <alignment horizontal="right"/>
      <protection locked="0"/>
    </xf>
    <xf numFmtId="166" fontId="174" fillId="0" borderId="0" xfId="0" applyNumberFormat="1" applyFont="1" applyFill="1" applyBorder="1" applyAlignment="1" applyProtection="1">
      <alignment horizontal="right"/>
      <protection locked="0"/>
    </xf>
    <xf numFmtId="0" fontId="174" fillId="0" borderId="0" xfId="0" applyFont="1" applyFill="1" applyBorder="1" applyAlignment="1" applyProtection="1">
      <alignment horizontal="right"/>
      <protection locked="0"/>
    </xf>
    <xf numFmtId="38" fontId="192" fillId="0" borderId="0" xfId="2" applyNumberFormat="1" applyFont="1" applyFill="1" applyBorder="1" applyAlignment="1" applyProtection="1">
      <protection locked="0"/>
    </xf>
    <xf numFmtId="6" fontId="161" fillId="0" borderId="0" xfId="0" applyNumberFormat="1" applyFont="1" applyFill="1" applyBorder="1" applyAlignment="1" applyProtection="1">
      <protection locked="0"/>
    </xf>
    <xf numFmtId="166" fontId="190" fillId="0" borderId="0" xfId="0" applyNumberFormat="1" applyFont="1" applyFill="1" applyBorder="1" applyAlignment="1" applyProtection="1">
      <protection locked="0"/>
    </xf>
    <xf numFmtId="166" fontId="193" fillId="0" borderId="0" xfId="0" applyNumberFormat="1" applyFont="1" applyFill="1" applyBorder="1" applyAlignment="1" applyProtection="1">
      <protection locked="0"/>
    </xf>
    <xf numFmtId="166" fontId="194" fillId="0" borderId="0" xfId="0" applyNumberFormat="1" applyFont="1" applyFill="1" applyBorder="1" applyAlignment="1" applyProtection="1">
      <protection locked="0"/>
    </xf>
    <xf numFmtId="166" fontId="195" fillId="0" borderId="0" xfId="0" applyNumberFormat="1" applyFont="1" applyFill="1" applyBorder="1" applyAlignment="1" applyProtection="1">
      <protection locked="0"/>
    </xf>
    <xf numFmtId="166" fontId="196" fillId="0" borderId="0" xfId="0" applyNumberFormat="1" applyFont="1" applyFill="1" applyBorder="1" applyAlignment="1" applyProtection="1">
      <protection locked="0"/>
    </xf>
    <xf numFmtId="166" fontId="197" fillId="0" borderId="0" xfId="0" applyNumberFormat="1" applyFont="1" applyFill="1" applyBorder="1" applyAlignment="1" applyProtection="1">
      <protection locked="0"/>
    </xf>
    <xf numFmtId="6" fontId="168" fillId="0" borderId="0" xfId="0" applyNumberFormat="1" applyFont="1" applyFill="1" applyBorder="1" applyAlignment="1" applyProtection="1">
      <protection locked="0"/>
    </xf>
    <xf numFmtId="166" fontId="198" fillId="0" borderId="0" xfId="0" applyNumberFormat="1" applyFont="1" applyFill="1" applyBorder="1" applyAlignment="1" applyProtection="1">
      <protection locked="0"/>
    </xf>
    <xf numFmtId="166" fontId="199" fillId="0" borderId="0" xfId="0" applyNumberFormat="1" applyFont="1" applyFill="1" applyBorder="1" applyAlignment="1" applyProtection="1">
      <protection locked="0"/>
    </xf>
    <xf numFmtId="166" fontId="200" fillId="0" borderId="0" xfId="0" applyNumberFormat="1" applyFont="1" applyFill="1" applyBorder="1" applyAlignment="1" applyProtection="1">
      <protection locked="0"/>
    </xf>
    <xf numFmtId="6" fontId="201" fillId="0" borderId="0" xfId="0" applyNumberFormat="1" applyFont="1" applyFill="1" applyBorder="1" applyAlignment="1" applyProtection="1">
      <protection locked="0"/>
    </xf>
    <xf numFmtId="166" fontId="202" fillId="0" borderId="0" xfId="0" applyNumberFormat="1" applyFont="1" applyFill="1" applyBorder="1" applyAlignment="1" applyProtection="1">
      <protection locked="0"/>
    </xf>
    <xf numFmtId="166" fontId="203" fillId="0" borderId="0" xfId="0" applyNumberFormat="1" applyFont="1" applyFill="1" applyBorder="1" applyAlignment="1" applyProtection="1">
      <protection locked="0"/>
    </xf>
    <xf numFmtId="166" fontId="204" fillId="0" borderId="0" xfId="0" applyNumberFormat="1" applyFont="1" applyFill="1" applyBorder="1" applyAlignment="1" applyProtection="1">
      <protection locked="0"/>
    </xf>
    <xf numFmtId="166" fontId="205" fillId="0" borderId="0" xfId="0" applyNumberFormat="1" applyFont="1" applyFill="1" applyBorder="1" applyAlignment="1" applyProtection="1">
      <protection locked="0"/>
    </xf>
    <xf numFmtId="6" fontId="206" fillId="0" borderId="0" xfId="0" applyNumberFormat="1" applyFont="1" applyFill="1" applyBorder="1" applyAlignment="1" applyProtection="1">
      <protection locked="0"/>
    </xf>
    <xf numFmtId="166" fontId="161" fillId="0" borderId="0" xfId="0" applyNumberFormat="1" applyFont="1" applyFill="1" applyBorder="1" applyAlignment="1" applyProtection="1">
      <protection locked="0"/>
    </xf>
    <xf numFmtId="0" fontId="207" fillId="0" borderId="0" xfId="0" applyFont="1" applyFill="1" applyBorder="1" applyAlignment="1" applyProtection="1">
      <alignment horizontal="left"/>
      <protection locked="0"/>
    </xf>
    <xf numFmtId="0" fontId="154" fillId="0" borderId="0" xfId="0" applyFont="1" applyFill="1" applyBorder="1" applyAlignment="1" applyProtection="1">
      <protection locked="0"/>
    </xf>
    <xf numFmtId="6" fontId="208" fillId="0" borderId="0" xfId="0" applyNumberFormat="1" applyFont="1" applyFill="1" applyBorder="1" applyAlignment="1" applyProtection="1">
      <protection locked="0"/>
    </xf>
    <xf numFmtId="6" fontId="209" fillId="0" borderId="0" xfId="0" applyNumberFormat="1" applyFont="1" applyFill="1" applyBorder="1" applyAlignment="1" applyProtection="1">
      <protection locked="0"/>
    </xf>
    <xf numFmtId="0" fontId="211" fillId="0" borderId="0" xfId="0" applyFont="1" applyFill="1" applyBorder="1" applyAlignment="1" applyProtection="1">
      <alignment horizontal="center" wrapText="1"/>
      <protection locked="0"/>
    </xf>
    <xf numFmtId="166" fontId="185" fillId="0" borderId="0" xfId="0" applyNumberFormat="1" applyFont="1" applyFill="1" applyBorder="1" applyAlignment="1" applyProtection="1">
      <alignment horizontal="center" wrapText="1"/>
      <protection locked="0"/>
    </xf>
    <xf numFmtId="166" fontId="212" fillId="0" borderId="0" xfId="0" applyNumberFormat="1" applyFont="1" applyFill="1" applyBorder="1" applyAlignment="1" applyProtection="1">
      <alignment horizontal="center" wrapText="1"/>
      <protection locked="0"/>
    </xf>
    <xf numFmtId="0" fontId="213" fillId="0" borderId="0" xfId="0" applyFont="1" applyFill="1" applyBorder="1" applyAlignment="1" applyProtection="1">
      <alignment horizontal="center"/>
      <protection locked="0"/>
    </xf>
    <xf numFmtId="166" fontId="186" fillId="0" borderId="0" xfId="0" applyNumberFormat="1" applyFont="1" applyFill="1" applyBorder="1" applyAlignment="1" applyProtection="1">
      <alignment horizontal="center"/>
      <protection locked="0"/>
    </xf>
    <xf numFmtId="166" fontId="212" fillId="0" borderId="0" xfId="0" applyNumberFormat="1" applyFont="1" applyFill="1" applyBorder="1" applyAlignment="1" applyProtection="1">
      <alignment horizontal="center" vertical="center" wrapText="1"/>
      <protection locked="0"/>
    </xf>
    <xf numFmtId="0" fontId="214" fillId="0" borderId="0" xfId="0" applyFont="1" applyFill="1" applyBorder="1" applyAlignment="1" applyProtection="1">
      <alignment horizontal="center"/>
      <protection locked="0"/>
    </xf>
    <xf numFmtId="0" fontId="215" fillId="0" borderId="0" xfId="0" applyFont="1" applyFill="1" applyBorder="1" applyAlignment="1" applyProtection="1">
      <alignment horizontal="center"/>
      <protection locked="0"/>
    </xf>
    <xf numFmtId="0" fontId="216" fillId="0" borderId="0" xfId="0" applyFont="1" applyFill="1" applyBorder="1" applyAlignment="1" applyProtection="1">
      <alignment horizontal="left"/>
      <protection locked="0"/>
    </xf>
    <xf numFmtId="0" fontId="217" fillId="0" borderId="0" xfId="0" applyFont="1" applyFill="1" applyBorder="1" applyAlignment="1" applyProtection="1">
      <protection locked="0"/>
    </xf>
    <xf numFmtId="166" fontId="212" fillId="0" borderId="0" xfId="0" applyNumberFormat="1" applyFont="1" applyFill="1" applyBorder="1" applyAlignment="1" applyProtection="1">
      <protection locked="0"/>
    </xf>
    <xf numFmtId="166" fontId="218" fillId="0" borderId="0" xfId="0" applyNumberFormat="1" applyFont="1" applyFill="1" applyBorder="1" applyAlignment="1" applyProtection="1">
      <protection locked="0"/>
    </xf>
    <xf numFmtId="38" fontId="219" fillId="0" borderId="0" xfId="0" applyNumberFormat="1" applyFont="1" applyFill="1" applyBorder="1" applyAlignment="1" applyProtection="1">
      <alignment vertical="center"/>
      <protection locked="0"/>
    </xf>
    <xf numFmtId="0" fontId="220" fillId="0" borderId="0" xfId="0" applyFont="1" applyFill="1" applyBorder="1" applyAlignment="1" applyProtection="1">
      <alignment horizontal="left"/>
      <protection locked="0"/>
    </xf>
    <xf numFmtId="6" fontId="220" fillId="0" borderId="0" xfId="2" applyNumberFormat="1" applyFont="1" applyFill="1" applyBorder="1" applyAlignment="1" applyProtection="1">
      <protection locked="0"/>
    </xf>
    <xf numFmtId="166" fontId="221" fillId="0" borderId="0" xfId="0" applyNumberFormat="1" applyFont="1" applyFill="1" applyBorder="1" applyAlignment="1" applyProtection="1">
      <protection locked="0"/>
    </xf>
    <xf numFmtId="38" fontId="158" fillId="0" borderId="0" xfId="0" applyNumberFormat="1" applyFont="1" applyFill="1" applyBorder="1" applyAlignment="1" applyProtection="1">
      <alignment vertical="center"/>
      <protection locked="0"/>
    </xf>
    <xf numFmtId="0" fontId="179" fillId="0" borderId="0" xfId="0" applyFont="1" applyFill="1" applyBorder="1" applyAlignment="1" applyProtection="1">
      <alignment horizontal="left"/>
      <protection locked="0"/>
    </xf>
    <xf numFmtId="38" fontId="219" fillId="0" borderId="0" xfId="0" applyNumberFormat="1" applyFont="1" applyFill="1" applyBorder="1" applyAlignment="1" applyProtection="1">
      <protection locked="0"/>
    </xf>
    <xf numFmtId="6" fontId="181" fillId="0" borderId="0" xfId="2" applyNumberFormat="1" applyFont="1" applyFill="1" applyBorder="1" applyAlignment="1" applyProtection="1">
      <protection locked="0"/>
    </xf>
    <xf numFmtId="166" fontId="222" fillId="0" borderId="0" xfId="0" applyNumberFormat="1" applyFont="1" applyFill="1" applyBorder="1" applyAlignment="1" applyProtection="1">
      <protection locked="0"/>
    </xf>
    <xf numFmtId="0" fontId="161" fillId="0" borderId="0" xfId="0" applyFont="1" applyFill="1" applyBorder="1"/>
    <xf numFmtId="166" fontId="190" fillId="0" borderId="0" xfId="0" applyNumberFormat="1" applyFont="1" applyFill="1" applyBorder="1"/>
    <xf numFmtId="37" fontId="161" fillId="0" borderId="0" xfId="0" applyNumberFormat="1" applyFont="1" applyFill="1" applyBorder="1" applyAlignment="1" applyProtection="1">
      <protection locked="0"/>
    </xf>
    <xf numFmtId="37" fontId="223" fillId="0" borderId="0" xfId="0" applyNumberFormat="1" applyFont="1" applyFill="1" applyBorder="1" applyAlignment="1" applyProtection="1">
      <protection locked="0"/>
    </xf>
    <xf numFmtId="38" fontId="224" fillId="0" borderId="0" xfId="0" applyNumberFormat="1" applyFont="1" applyFill="1" applyBorder="1" applyAlignment="1" applyProtection="1">
      <protection locked="0"/>
    </xf>
    <xf numFmtId="0" fontId="161" fillId="0" borderId="0" xfId="0" applyFont="1" applyFill="1" applyBorder="1" applyAlignment="1" applyProtection="1">
      <alignment horizontal="center"/>
      <protection locked="0"/>
    </xf>
    <xf numFmtId="0" fontId="179" fillId="11" borderId="0" xfId="0" applyFont="1" applyFill="1" applyBorder="1" applyAlignment="1" applyProtection="1">
      <alignment horizontal="left"/>
      <protection locked="0"/>
    </xf>
    <xf numFmtId="6" fontId="161" fillId="11" borderId="0" xfId="0" applyNumberFormat="1" applyFont="1" applyFill="1" applyBorder="1" applyAlignment="1" applyProtection="1">
      <protection locked="0"/>
    </xf>
    <xf numFmtId="166" fontId="225" fillId="11" borderId="0" xfId="0" applyNumberFormat="1" applyFont="1" applyFill="1" applyBorder="1" applyAlignment="1" applyProtection="1">
      <protection locked="0"/>
    </xf>
    <xf numFmtId="38" fontId="181" fillId="11" borderId="0" xfId="0" applyNumberFormat="1" applyFont="1" applyFill="1" applyBorder="1" applyAlignment="1" applyProtection="1">
      <protection locked="0"/>
    </xf>
    <xf numFmtId="166" fontId="186" fillId="11" borderId="0" xfId="0" applyNumberFormat="1" applyFont="1" applyFill="1" applyBorder="1" applyAlignment="1" applyProtection="1">
      <protection locked="0"/>
    </xf>
    <xf numFmtId="166" fontId="226" fillId="11" borderId="0" xfId="0" applyNumberFormat="1" applyFont="1" applyFill="1" applyBorder="1" applyAlignment="1" applyProtection="1">
      <protection locked="0"/>
    </xf>
    <xf numFmtId="166" fontId="227" fillId="11" borderId="0" xfId="0" applyNumberFormat="1" applyFont="1" applyFill="1" applyBorder="1" applyAlignment="1" applyProtection="1">
      <protection locked="0"/>
    </xf>
    <xf numFmtId="166" fontId="228" fillId="11" borderId="0" xfId="0" applyNumberFormat="1" applyFont="1" applyFill="1" applyBorder="1" applyAlignment="1" applyProtection="1">
      <protection locked="0"/>
    </xf>
    <xf numFmtId="0" fontId="161" fillId="11" borderId="0" xfId="0" applyFont="1" applyFill="1" applyBorder="1" applyAlignment="1" applyProtection="1">
      <alignment horizontal="center"/>
      <protection locked="0"/>
    </xf>
    <xf numFmtId="166" fontId="229" fillId="0" borderId="0" xfId="0" applyNumberFormat="1" applyFont="1" applyFill="1" applyBorder="1" applyAlignment="1" applyProtection="1">
      <protection locked="0"/>
    </xf>
    <xf numFmtId="166" fontId="230" fillId="0" borderId="0" xfId="0" applyNumberFormat="1" applyFont="1" applyFill="1" applyBorder="1" applyAlignment="1" applyProtection="1">
      <protection locked="0"/>
    </xf>
    <xf numFmtId="6" fontId="216" fillId="0" borderId="0" xfId="0" applyNumberFormat="1" applyFont="1" applyFill="1" applyBorder="1" applyAlignment="1" applyProtection="1">
      <protection locked="0"/>
    </xf>
    <xf numFmtId="166" fontId="225" fillId="0" borderId="0" xfId="0" applyNumberFormat="1" applyFont="1" applyFill="1" applyBorder="1" applyAlignment="1" applyProtection="1">
      <protection locked="0"/>
    </xf>
    <xf numFmtId="166" fontId="226" fillId="0" borderId="0" xfId="0" applyNumberFormat="1" applyFont="1" applyFill="1" applyBorder="1" applyAlignment="1" applyProtection="1">
      <protection locked="0"/>
    </xf>
    <xf numFmtId="166" fontId="227" fillId="0" borderId="0" xfId="0" applyNumberFormat="1" applyFont="1" applyFill="1" applyBorder="1" applyAlignment="1" applyProtection="1">
      <protection locked="0"/>
    </xf>
    <xf numFmtId="166" fontId="228" fillId="0" borderId="0" xfId="0" applyNumberFormat="1" applyFont="1" applyFill="1" applyBorder="1" applyAlignment="1" applyProtection="1">
      <protection locked="0"/>
    </xf>
    <xf numFmtId="6" fontId="168" fillId="0" borderId="0" xfId="0" applyNumberFormat="1" applyFont="1" applyFill="1" applyBorder="1" applyAlignment="1" applyProtection="1">
      <alignment horizontal="right"/>
      <protection locked="0"/>
    </xf>
    <xf numFmtId="6" fontId="231" fillId="0" borderId="0" xfId="0" applyNumberFormat="1" applyFont="1" applyFill="1" applyBorder="1" applyAlignment="1" applyProtection="1">
      <protection locked="0"/>
    </xf>
    <xf numFmtId="6" fontId="168" fillId="0" borderId="0" xfId="2" applyNumberFormat="1" applyFont="1" applyFill="1" applyBorder="1" applyAlignment="1" applyProtection="1">
      <alignment horizontal="right"/>
      <protection locked="0"/>
    </xf>
    <xf numFmtId="0" fontId="0" fillId="0" borderId="0" xfId="0" applyFont="1" applyFill="1" applyBorder="1" applyAlignment="1" applyProtection="1">
      <protection locked="0"/>
    </xf>
    <xf numFmtId="0" fontId="161" fillId="0" borderId="0" xfId="0" applyFont="1" applyFill="1" applyBorder="1" applyAlignment="1" applyProtection="1">
      <alignment horizontal="left" indent="1"/>
      <protection locked="0"/>
    </xf>
    <xf numFmtId="166" fontId="185" fillId="0" borderId="0" xfId="2" applyNumberFormat="1" applyFont="1" applyFill="1" applyBorder="1" applyAlignment="1" applyProtection="1">
      <protection locked="0"/>
    </xf>
    <xf numFmtId="166" fontId="212" fillId="0" borderId="0" xfId="2" applyNumberFormat="1" applyFont="1" applyFill="1" applyBorder="1" applyAlignment="1" applyProtection="1">
      <protection locked="0"/>
    </xf>
    <xf numFmtId="6" fontId="161" fillId="0" borderId="0" xfId="2" applyNumberFormat="1" applyFont="1" applyFill="1" applyBorder="1" applyAlignment="1" applyProtection="1">
      <alignment horizontal="left" indent="1"/>
      <protection locked="0"/>
    </xf>
    <xf numFmtId="166" fontId="229" fillId="0" borderId="0" xfId="2" applyNumberFormat="1" applyFont="1" applyFill="1" applyBorder="1" applyAlignment="1" applyProtection="1">
      <protection locked="0"/>
    </xf>
    <xf numFmtId="166" fontId="230" fillId="0" borderId="0" xfId="2" applyNumberFormat="1" applyFont="1" applyFill="1" applyBorder="1" applyAlignment="1" applyProtection="1">
      <protection locked="0"/>
    </xf>
    <xf numFmtId="166" fontId="193" fillId="0" borderId="0" xfId="2" applyNumberFormat="1" applyFont="1" applyFill="1" applyBorder="1" applyAlignment="1" applyProtection="1">
      <protection locked="0"/>
    </xf>
    <xf numFmtId="0" fontId="181" fillId="0" borderId="0" xfId="0" applyFont="1" applyFill="1" applyBorder="1" applyAlignment="1" applyProtection="1">
      <protection locked="0"/>
    </xf>
    <xf numFmtId="166" fontId="232" fillId="0" borderId="0" xfId="0" applyNumberFormat="1" applyFont="1" applyFill="1" applyBorder="1" applyAlignment="1" applyProtection="1">
      <protection locked="0"/>
    </xf>
    <xf numFmtId="6" fontId="181" fillId="0" borderId="0" xfId="0" applyNumberFormat="1" applyFont="1" applyFill="1" applyBorder="1" applyAlignment="1" applyProtection="1">
      <protection locked="0"/>
    </xf>
    <xf numFmtId="165" fontId="233" fillId="0" borderId="0" xfId="0" applyNumberFormat="1" applyFont="1" applyFill="1" applyBorder="1" applyAlignment="1" applyProtection="1">
      <alignment horizontal="center"/>
      <protection locked="0"/>
    </xf>
    <xf numFmtId="6" fontId="234" fillId="0" borderId="0" xfId="2" applyNumberFormat="1" applyFont="1" applyFill="1" applyBorder="1" applyAlignment="1" applyProtection="1">
      <protection locked="0"/>
    </xf>
    <xf numFmtId="166" fontId="235" fillId="0" borderId="0" xfId="2" applyNumberFormat="1" applyFont="1" applyFill="1" applyBorder="1" applyAlignment="1" applyProtection="1">
      <protection locked="0"/>
    </xf>
    <xf numFmtId="22" fontId="168" fillId="0" borderId="0" xfId="0" applyNumberFormat="1" applyFont="1" applyFill="1" applyBorder="1" applyAlignment="1" applyProtection="1">
      <protection locked="0"/>
    </xf>
    <xf numFmtId="165" fontId="236" fillId="0" borderId="0" xfId="0" applyNumberFormat="1" applyFont="1" applyFill="1" applyBorder="1" applyAlignment="1" applyProtection="1">
      <alignment horizontal="center"/>
      <protection locked="0"/>
    </xf>
    <xf numFmtId="0" fontId="189" fillId="0" borderId="0" xfId="0" applyFont="1" applyFill="1" applyBorder="1" applyAlignment="1" applyProtection="1">
      <alignment horizontal="left"/>
      <protection locked="0"/>
    </xf>
    <xf numFmtId="6" fontId="189" fillId="0" borderId="0" xfId="0" applyNumberFormat="1" applyFont="1" applyFill="1" applyBorder="1" applyAlignment="1" applyProtection="1">
      <protection locked="0"/>
    </xf>
    <xf numFmtId="6" fontId="237" fillId="0" borderId="0" xfId="0" applyNumberFormat="1" applyFont="1" applyFill="1" applyBorder="1" applyAlignment="1" applyProtection="1">
      <protection locked="0"/>
    </xf>
    <xf numFmtId="38" fontId="238" fillId="0" borderId="0" xfId="0" applyNumberFormat="1" applyFont="1" applyFill="1" applyBorder="1" applyAlignment="1" applyProtection="1">
      <protection locked="0"/>
    </xf>
    <xf numFmtId="0" fontId="193" fillId="0" borderId="0" xfId="0" applyFont="1" applyFill="1" applyBorder="1" applyAlignment="1" applyProtection="1">
      <protection locked="0"/>
    </xf>
    <xf numFmtId="0" fontId="239" fillId="0" borderId="0" xfId="0" applyFont="1" applyFill="1" applyBorder="1" applyAlignment="1" applyProtection="1">
      <alignment horizontal="center"/>
      <protection locked="0"/>
    </xf>
    <xf numFmtId="0" fontId="212" fillId="0" borderId="0" xfId="0" applyFont="1" applyFill="1" applyBorder="1" applyAlignment="1" applyProtection="1">
      <protection locked="0"/>
    </xf>
    <xf numFmtId="0" fontId="236" fillId="0" borderId="0" xfId="0" applyFont="1" applyFill="1" applyBorder="1" applyAlignment="1" applyProtection="1">
      <alignment horizontal="center"/>
      <protection locked="0"/>
    </xf>
    <xf numFmtId="6" fontId="193" fillId="0" borderId="0" xfId="0" applyNumberFormat="1" applyFont="1" applyFill="1" applyBorder="1" applyAlignment="1" applyProtection="1">
      <protection locked="0"/>
    </xf>
    <xf numFmtId="0" fontId="198" fillId="0" borderId="0" xfId="0" applyFont="1" applyFill="1" applyBorder="1" applyAlignment="1" applyProtection="1">
      <protection locked="0"/>
    </xf>
    <xf numFmtId="0" fontId="193" fillId="0" borderId="0" xfId="0" applyFont="1" applyFill="1" applyBorder="1" applyAlignment="1" applyProtection="1">
      <alignment horizontal="left"/>
      <protection locked="0"/>
    </xf>
    <xf numFmtId="6" fontId="193" fillId="0" borderId="0" xfId="2" applyNumberFormat="1" applyFont="1" applyFill="1" applyBorder="1" applyAlignment="1" applyProtection="1">
      <protection locked="0"/>
    </xf>
    <xf numFmtId="0" fontId="238" fillId="0" borderId="0" xfId="0" applyFont="1" applyFill="1" applyBorder="1" applyAlignment="1" applyProtection="1">
      <alignment horizontal="left"/>
      <protection locked="0"/>
    </xf>
    <xf numFmtId="164" fontId="193" fillId="0" borderId="0" xfId="2" applyNumberFormat="1" applyFont="1" applyFill="1" applyBorder="1" applyAlignment="1" applyProtection="1">
      <protection locked="0"/>
    </xf>
    <xf numFmtId="6" fontId="238" fillId="0" borderId="0" xfId="0" applyNumberFormat="1" applyFont="1" applyFill="1" applyBorder="1" applyAlignment="1" applyProtection="1">
      <protection locked="0"/>
    </xf>
    <xf numFmtId="0" fontId="160" fillId="0" borderId="0" xfId="0" applyFont="1" applyFill="1" applyBorder="1" applyAlignment="1" applyProtection="1">
      <alignment horizontal="center" vertical="center" wrapText="1"/>
      <protection locked="0"/>
    </xf>
    <xf numFmtId="0" fontId="177" fillId="0" borderId="0" xfId="0" applyFont="1" applyFill="1" applyBorder="1" applyAlignment="1" applyProtection="1">
      <protection locked="0"/>
    </xf>
    <xf numFmtId="0" fontId="160" fillId="0" borderId="0" xfId="0" applyFont="1" applyFill="1" applyBorder="1" applyAlignment="1" applyProtection="1">
      <protection locked="0"/>
    </xf>
    <xf numFmtId="166" fontId="160" fillId="0" borderId="0" xfId="1" applyNumberFormat="1" applyFont="1" applyFill="1" applyBorder="1" applyAlignment="1" applyProtection="1">
      <protection locked="0"/>
    </xf>
    <xf numFmtId="0" fontId="241" fillId="0" borderId="0" xfId="0" applyFont="1" applyFill="1" applyBorder="1" applyAlignment="1" applyProtection="1">
      <alignment horizontal="right"/>
      <protection locked="0"/>
    </xf>
    <xf numFmtId="0" fontId="224" fillId="0" borderId="0" xfId="0" applyFont="1" applyFill="1" applyBorder="1" applyAlignment="1" applyProtection="1">
      <protection locked="0"/>
    </xf>
    <xf numFmtId="0" fontId="224" fillId="0" borderId="0" xfId="0" applyFont="1" applyFill="1" applyBorder="1" applyAlignment="1" applyProtection="1">
      <alignment horizontal="left"/>
      <protection locked="0"/>
    </xf>
    <xf numFmtId="0" fontId="241" fillId="0" borderId="0" xfId="0" applyFont="1" applyFill="1" applyBorder="1" applyAlignment="1" applyProtection="1">
      <protection locked="0"/>
    </xf>
    <xf numFmtId="167" fontId="160" fillId="0" borderId="0" xfId="1" applyNumberFormat="1" applyFont="1" applyFill="1" applyBorder="1" applyAlignment="1" applyProtection="1">
      <alignment horizontal="center" vertical="center" wrapText="1"/>
      <protection locked="0"/>
    </xf>
    <xf numFmtId="167" fontId="160" fillId="0" borderId="0" xfId="1" applyNumberFormat="1" applyFont="1" applyFill="1" applyBorder="1" applyAlignment="1" applyProtection="1">
      <protection locked="0"/>
    </xf>
    <xf numFmtId="167" fontId="177" fillId="0" borderId="0" xfId="1" applyNumberFormat="1" applyFont="1" applyFill="1" applyBorder="1" applyAlignment="1" applyProtection="1">
      <protection locked="0"/>
    </xf>
    <xf numFmtId="0" fontId="160" fillId="0" borderId="20" xfId="0" applyFont="1" applyFill="1" applyBorder="1" applyAlignment="1" applyProtection="1">
      <alignment horizontal="left" vertical="top"/>
      <protection locked="0"/>
    </xf>
    <xf numFmtId="0" fontId="160" fillId="0" borderId="20" xfId="0" applyFont="1" applyFill="1" applyBorder="1" applyAlignment="1" applyProtection="1">
      <alignment horizontal="left" indent="1"/>
      <protection locked="0"/>
    </xf>
    <xf numFmtId="0" fontId="177" fillId="0" borderId="20" xfId="0" applyFont="1" applyFill="1" applyBorder="1" applyAlignment="1" applyProtection="1">
      <alignment horizontal="left" indent="2"/>
      <protection locked="0"/>
    </xf>
    <xf numFmtId="0" fontId="224" fillId="0" borderId="20" xfId="0" applyFont="1" applyFill="1" applyBorder="1" applyAlignment="1" applyProtection="1">
      <alignment horizontal="right"/>
      <protection locked="0"/>
    </xf>
    <xf numFmtId="0" fontId="177" fillId="0" borderId="20" xfId="0" applyFont="1" applyFill="1" applyBorder="1" applyAlignment="1" applyProtection="1">
      <alignment horizontal="left" vertical="center" indent="2"/>
      <protection locked="0"/>
    </xf>
    <xf numFmtId="0" fontId="177" fillId="0" borderId="20" xfId="0" applyFont="1" applyFill="1" applyBorder="1" applyAlignment="1" applyProtection="1">
      <alignment horizontal="left"/>
      <protection locked="0"/>
    </xf>
    <xf numFmtId="0" fontId="224" fillId="0" borderId="20" xfId="0" applyFont="1" applyFill="1" applyBorder="1" applyAlignment="1" applyProtection="1">
      <alignment horizontal="right" vertical="center"/>
      <protection locked="0"/>
    </xf>
    <xf numFmtId="0" fontId="160" fillId="13" borderId="20" xfId="0" applyFont="1" applyFill="1" applyBorder="1" applyAlignment="1" applyProtection="1">
      <protection locked="0"/>
    </xf>
    <xf numFmtId="0" fontId="160" fillId="0" borderId="20" xfId="0" applyFont="1" applyFill="1" applyBorder="1" applyAlignment="1" applyProtection="1">
      <alignment horizontal="left"/>
      <protection locked="0"/>
    </xf>
    <xf numFmtId="0" fontId="177" fillId="0" borderId="20" xfId="0" applyFont="1" applyFill="1" applyBorder="1" applyAlignment="1">
      <alignment horizontal="left" indent="2"/>
    </xf>
    <xf numFmtId="37" fontId="177" fillId="0" borderId="20" xfId="0" applyNumberFormat="1" applyFont="1" applyFill="1" applyBorder="1" applyAlignment="1" applyProtection="1">
      <alignment horizontal="left" indent="2"/>
      <protection locked="0"/>
    </xf>
    <xf numFmtId="0" fontId="177" fillId="0" borderId="7" xfId="0" applyFont="1" applyFill="1" applyBorder="1" applyAlignment="1" applyProtection="1">
      <alignment horizontal="center"/>
      <protection locked="0"/>
    </xf>
    <xf numFmtId="0" fontId="244" fillId="0" borderId="20" xfId="0" applyFont="1" applyFill="1" applyBorder="1" applyAlignment="1" applyProtection="1">
      <alignment horizontal="left" indent="2"/>
      <protection locked="0"/>
    </xf>
    <xf numFmtId="0" fontId="177" fillId="0" borderId="20" xfId="0" applyFont="1" applyFill="1" applyBorder="1" applyAlignment="1" applyProtection="1">
      <alignment horizontal="left" indent="1"/>
      <protection locked="0"/>
    </xf>
    <xf numFmtId="0" fontId="160" fillId="13" borderId="20" xfId="0" applyFont="1" applyFill="1" applyBorder="1" applyAlignment="1" applyProtection="1">
      <alignment horizontal="left"/>
      <protection locked="0"/>
    </xf>
    <xf numFmtId="167" fontId="160" fillId="0" borderId="26" xfId="1" applyNumberFormat="1" applyFont="1" applyFill="1" applyBorder="1" applyAlignment="1" applyProtection="1">
      <alignment horizontal="center" vertical="center" wrapText="1"/>
      <protection locked="0"/>
    </xf>
    <xf numFmtId="167" fontId="160" fillId="0" borderId="21" xfId="1" applyNumberFormat="1" applyFont="1" applyFill="1" applyBorder="1" applyAlignment="1" applyProtection="1">
      <alignment horizontal="center" vertical="center" wrapText="1"/>
      <protection locked="0"/>
    </xf>
    <xf numFmtId="14" fontId="160" fillId="0" borderId="21" xfId="1" applyNumberFormat="1" applyFont="1" applyFill="1" applyBorder="1" applyAlignment="1" applyProtection="1">
      <alignment horizontal="center" vertical="center" wrapText="1"/>
      <protection locked="0"/>
    </xf>
    <xf numFmtId="167" fontId="160" fillId="0" borderId="27" xfId="1" applyNumberFormat="1" applyFont="1" applyFill="1" applyBorder="1" applyAlignment="1" applyProtection="1">
      <alignment horizontal="center" vertical="center" wrapText="1"/>
      <protection locked="0"/>
    </xf>
    <xf numFmtId="0" fontId="160" fillId="13" borderId="17" xfId="0" applyFont="1" applyFill="1" applyBorder="1" applyAlignment="1" applyProtection="1">
      <alignment horizontal="left"/>
      <protection locked="0"/>
    </xf>
    <xf numFmtId="0" fontId="160" fillId="0" borderId="28" xfId="0" applyFont="1" applyFill="1" applyBorder="1" applyAlignment="1" applyProtection="1">
      <alignment horizontal="right" vertical="center" wrapText="1"/>
      <protection locked="0"/>
    </xf>
    <xf numFmtId="0" fontId="160" fillId="0" borderId="29" xfId="0" applyFont="1" applyFill="1" applyBorder="1" applyAlignment="1" applyProtection="1">
      <alignment horizontal="right" vertical="center" wrapText="1"/>
      <protection locked="0"/>
    </xf>
    <xf numFmtId="167" fontId="177" fillId="0" borderId="31" xfId="1" applyNumberFormat="1" applyFont="1" applyFill="1" applyBorder="1" applyAlignment="1" applyProtection="1">
      <alignment horizontal="center" vertical="center" wrapText="1"/>
      <protection locked="0"/>
    </xf>
    <xf numFmtId="167" fontId="160" fillId="0" borderId="31" xfId="1" applyNumberFormat="1" applyFont="1" applyFill="1" applyBorder="1" applyAlignment="1" applyProtection="1">
      <protection locked="0"/>
    </xf>
    <xf numFmtId="164" fontId="177" fillId="0" borderId="31" xfId="2" applyNumberFormat="1" applyFont="1" applyFill="1" applyBorder="1" applyAlignment="1" applyProtection="1">
      <protection locked="0"/>
    </xf>
    <xf numFmtId="167" fontId="224" fillId="0" borderId="31" xfId="1" applyNumberFormat="1" applyFont="1" applyFill="1" applyBorder="1" applyAlignment="1" applyProtection="1">
      <protection locked="0"/>
    </xf>
    <xf numFmtId="167" fontId="177" fillId="0" borderId="31" xfId="1" applyNumberFormat="1" applyFont="1" applyFill="1" applyBorder="1" applyAlignment="1" applyProtection="1">
      <protection locked="0"/>
    </xf>
    <xf numFmtId="167" fontId="242" fillId="0" borderId="31" xfId="1" applyNumberFormat="1" applyFont="1" applyFill="1" applyBorder="1" applyAlignment="1" applyProtection="1">
      <protection locked="0"/>
    </xf>
    <xf numFmtId="167" fontId="224" fillId="0" borderId="31" xfId="1" applyNumberFormat="1" applyFont="1" applyFill="1" applyBorder="1" applyAlignment="1" applyProtection="1">
      <alignment horizontal="right"/>
      <protection locked="0"/>
    </xf>
    <xf numFmtId="167" fontId="243" fillId="0" borderId="31" xfId="1" applyNumberFormat="1" applyFont="1" applyFill="1" applyBorder="1" applyAlignment="1" applyProtection="1">
      <protection locked="0"/>
    </xf>
    <xf numFmtId="167" fontId="160" fillId="13" borderId="31" xfId="1" applyNumberFormat="1" applyFont="1" applyFill="1" applyBorder="1" applyAlignment="1" applyProtection="1">
      <protection locked="0"/>
    </xf>
    <xf numFmtId="167" fontId="244" fillId="0" borderId="31" xfId="1" applyNumberFormat="1" applyFont="1" applyFill="1" applyBorder="1" applyAlignment="1" applyProtection="1">
      <protection locked="0"/>
    </xf>
    <xf numFmtId="167" fontId="160" fillId="13" borderId="32" xfId="1" applyNumberFormat="1" applyFont="1" applyFill="1" applyBorder="1" applyAlignment="1" applyProtection="1">
      <protection locked="0"/>
    </xf>
    <xf numFmtId="0" fontId="160" fillId="0" borderId="30" xfId="0" applyFont="1" applyFill="1" applyBorder="1" applyAlignment="1" applyProtection="1">
      <alignment horizontal="right" vertical="center" wrapText="1"/>
      <protection locked="0"/>
    </xf>
    <xf numFmtId="167" fontId="224" fillId="0" borderId="31" xfId="1" applyNumberFormat="1" applyFont="1" applyFill="1" applyBorder="1" applyAlignment="1" applyProtection="1">
      <alignment vertical="center" wrapText="1"/>
      <protection locked="0"/>
    </xf>
    <xf numFmtId="167" fontId="224" fillId="0" borderId="33" xfId="1" applyNumberFormat="1" applyFont="1" applyFill="1" applyBorder="1" applyAlignment="1" applyProtection="1">
      <alignment horizontal="center" vertical="center" wrapText="1"/>
      <protection locked="0"/>
    </xf>
    <xf numFmtId="0" fontId="224" fillId="0" borderId="20" xfId="0" applyFont="1" applyFill="1" applyBorder="1" applyAlignment="1" applyProtection="1">
      <alignment horizontal="center" vertical="center" wrapText="1"/>
      <protection locked="0"/>
    </xf>
    <xf numFmtId="167" fontId="224" fillId="0" borderId="31" xfId="1" applyNumberFormat="1" applyFont="1" applyFill="1" applyBorder="1" applyAlignment="1" applyProtection="1">
      <alignment horizontal="center" wrapText="1"/>
      <protection locked="0"/>
    </xf>
    <xf numFmtId="0" fontId="177" fillId="0" borderId="7" xfId="0" applyFont="1" applyFill="1" applyBorder="1" applyAlignment="1" applyProtection="1">
      <alignment horizontal="left"/>
      <protection locked="0"/>
    </xf>
    <xf numFmtId="0" fontId="160" fillId="0" borderId="0" xfId="0" applyFont="1" applyFill="1" applyBorder="1" applyAlignment="1" applyProtection="1">
      <alignment horizontal="left" vertical="center" wrapText="1"/>
      <protection locked="0"/>
    </xf>
    <xf numFmtId="0" fontId="177" fillId="0" borderId="7" xfId="0" applyFont="1" applyFill="1" applyBorder="1" applyAlignment="1" applyProtection="1">
      <alignment horizontal="left" vertical="center"/>
      <protection locked="0"/>
    </xf>
    <xf numFmtId="0" fontId="160" fillId="0" borderId="7" xfId="0" applyFont="1" applyFill="1" applyBorder="1" applyAlignment="1" applyProtection="1">
      <alignment horizontal="left"/>
      <protection locked="0"/>
    </xf>
    <xf numFmtId="0" fontId="224" fillId="0" borderId="7" xfId="0" applyFont="1" applyFill="1" applyBorder="1" applyAlignment="1" applyProtection="1">
      <alignment horizontal="left"/>
      <protection locked="0"/>
    </xf>
    <xf numFmtId="0" fontId="241" fillId="0" borderId="7" xfId="0" applyFont="1" applyFill="1" applyBorder="1" applyAlignment="1" applyProtection="1">
      <alignment horizontal="left"/>
      <protection locked="0"/>
    </xf>
    <xf numFmtId="0" fontId="177" fillId="13" borderId="7" xfId="0" applyFont="1" applyFill="1" applyBorder="1" applyAlignment="1" applyProtection="1">
      <alignment horizontal="left"/>
      <protection locked="0"/>
    </xf>
    <xf numFmtId="22" fontId="160" fillId="13" borderId="19" xfId="0" applyNumberFormat="1" applyFont="1" applyFill="1" applyBorder="1" applyAlignment="1" applyProtection="1">
      <alignment horizontal="left"/>
      <protection locked="0"/>
    </xf>
    <xf numFmtId="167" fontId="177" fillId="14" borderId="31" xfId="1" applyNumberFormat="1" applyFont="1" applyFill="1" applyBorder="1" applyAlignment="1" applyProtection="1">
      <protection locked="0"/>
    </xf>
    <xf numFmtId="167" fontId="160" fillId="0" borderId="0" xfId="0" applyNumberFormat="1" applyFont="1" applyFill="1" applyBorder="1" applyAlignment="1" applyProtection="1">
      <protection locked="0"/>
    </xf>
    <xf numFmtId="167" fontId="241" fillId="0" borderId="0" xfId="1" applyNumberFormat="1" applyFont="1" applyFill="1" applyBorder="1" applyAlignment="1" applyProtection="1">
      <protection locked="0"/>
    </xf>
    <xf numFmtId="167" fontId="241" fillId="0" borderId="0" xfId="1" applyNumberFormat="1" applyFont="1" applyFill="1" applyBorder="1" applyAlignment="1" applyProtection="1">
      <alignment horizontal="right"/>
      <protection locked="0"/>
    </xf>
    <xf numFmtId="0" fontId="160" fillId="0" borderId="0" xfId="0" applyFont="1" applyFill="1" applyBorder="1" applyAlignment="1" applyProtection="1">
      <alignment horizontal="center" vertical="center" wrapText="1"/>
      <protection locked="0"/>
    </xf>
    <xf numFmtId="0" fontId="244" fillId="0" borderId="0" xfId="0" applyFont="1" applyFill="1" applyBorder="1" applyAlignment="1" applyProtection="1">
      <protection locked="0"/>
    </xf>
    <xf numFmtId="167" fontId="245" fillId="0" borderId="31" xfId="1" applyNumberFormat="1" applyFont="1" applyFill="1" applyBorder="1" applyAlignment="1" applyProtection="1">
      <protection locked="0"/>
    </xf>
    <xf numFmtId="0" fontId="177" fillId="0" borderId="7" xfId="0" applyFont="1" applyFill="1" applyBorder="1" applyAlignment="1" applyProtection="1">
      <alignment horizontal="left" vertical="center" wrapText="1"/>
      <protection locked="0"/>
    </xf>
    <xf numFmtId="0" fontId="198" fillId="0" borderId="7" xfId="0" applyFont="1" applyFill="1" applyBorder="1" applyAlignment="1" applyProtection="1">
      <alignment horizontal="left" vertical="center" wrapText="1"/>
      <protection locked="0"/>
    </xf>
    <xf numFmtId="164" fontId="198" fillId="0" borderId="31" xfId="2" applyNumberFormat="1" applyFont="1" applyFill="1" applyBorder="1" applyAlignment="1" applyProtection="1">
      <protection locked="0"/>
    </xf>
    <xf numFmtId="167" fontId="198" fillId="0" borderId="31" xfId="1" applyNumberFormat="1" applyFont="1" applyFill="1" applyBorder="1" applyAlignment="1" applyProtection="1">
      <protection locked="0"/>
    </xf>
    <xf numFmtId="167" fontId="246" fillId="0" borderId="31" xfId="1" applyNumberFormat="1" applyFont="1" applyFill="1" applyBorder="1" applyAlignment="1" applyProtection="1">
      <protection locked="0"/>
    </xf>
    <xf numFmtId="167" fontId="247" fillId="0" borderId="31" xfId="1" applyNumberFormat="1" applyFont="1" applyFill="1" applyBorder="1" applyAlignment="1" applyProtection="1">
      <protection locked="0"/>
    </xf>
    <xf numFmtId="0" fontId="160" fillId="0" borderId="39" xfId="0" applyFont="1" applyFill="1" applyBorder="1" applyAlignment="1" applyProtection="1">
      <alignment horizontal="left" vertical="top"/>
      <protection locked="0"/>
    </xf>
    <xf numFmtId="0" fontId="160" fillId="0" borderId="15" xfId="0" applyFont="1" applyFill="1" applyBorder="1" applyAlignment="1" applyProtection="1">
      <alignment horizontal="left" vertical="top"/>
      <protection locked="0"/>
    </xf>
    <xf numFmtId="0" fontId="224" fillId="0" borderId="15" xfId="0" applyFont="1" applyFill="1" applyBorder="1" applyAlignment="1" applyProtection="1">
      <alignment horizontal="center" vertical="center" wrapText="1"/>
      <protection locked="0"/>
    </xf>
    <xf numFmtId="0" fontId="244" fillId="0" borderId="15" xfId="0" applyFont="1" applyFill="1" applyBorder="1" applyAlignment="1" applyProtection="1">
      <alignment horizontal="center" vertical="top"/>
      <protection locked="0"/>
    </xf>
    <xf numFmtId="0" fontId="177" fillId="0" borderId="15" xfId="0" applyFont="1" applyFill="1" applyBorder="1" applyAlignment="1" applyProtection="1">
      <alignment horizontal="center"/>
      <protection locked="0"/>
    </xf>
    <xf numFmtId="0" fontId="177" fillId="13" borderId="15" xfId="0" applyFont="1" applyFill="1" applyBorder="1" applyAlignment="1" applyProtection="1">
      <alignment horizontal="center"/>
      <protection locked="0"/>
    </xf>
    <xf numFmtId="0" fontId="177" fillId="13" borderId="40" xfId="0" applyFont="1" applyFill="1" applyBorder="1" applyAlignment="1" applyProtection="1">
      <alignment horizontal="center"/>
      <protection locked="0"/>
    </xf>
    <xf numFmtId="167" fontId="224" fillId="0" borderId="31" xfId="1" applyNumberFormat="1" applyFont="1" applyFill="1" applyBorder="1" applyAlignment="1" applyProtection="1">
      <alignment horizontal="center" vertical="center" wrapText="1"/>
      <protection locked="0"/>
    </xf>
    <xf numFmtId="0" fontId="224" fillId="0" borderId="15" xfId="0" applyFont="1" applyFill="1" applyBorder="1" applyAlignment="1" applyProtection="1">
      <alignment horizontal="right"/>
      <protection locked="0"/>
    </xf>
    <xf numFmtId="167" fontId="248" fillId="0" borderId="31" xfId="1" applyNumberFormat="1" applyFont="1" applyFill="1" applyBorder="1" applyAlignment="1" applyProtection="1">
      <protection locked="0"/>
    </xf>
    <xf numFmtId="172" fontId="224" fillId="0" borderId="31" xfId="3" applyNumberFormat="1" applyFont="1" applyFill="1" applyBorder="1" applyAlignment="1" applyProtection="1">
      <protection locked="0"/>
    </xf>
    <xf numFmtId="0" fontId="198" fillId="0" borderId="15" xfId="0" applyFont="1" applyFill="1" applyBorder="1" applyAlignment="1" applyProtection="1">
      <alignment horizontal="center"/>
      <protection locked="0"/>
    </xf>
    <xf numFmtId="0" fontId="198" fillId="0" borderId="7" xfId="0" applyFont="1" applyFill="1" applyBorder="1" applyAlignment="1" applyProtection="1">
      <alignment horizontal="left" vertical="center" wrapText="1"/>
      <protection locked="0"/>
    </xf>
    <xf numFmtId="172" fontId="177" fillId="0" borderId="0" xfId="3" applyNumberFormat="1" applyFont="1" applyFill="1" applyBorder="1" applyAlignment="1" applyProtection="1">
      <protection locked="0"/>
    </xf>
    <xf numFmtId="10" fontId="177" fillId="0" borderId="0" xfId="3" applyNumberFormat="1" applyFont="1" applyFill="1" applyBorder="1" applyAlignment="1" applyProtection="1">
      <protection locked="0"/>
    </xf>
    <xf numFmtId="3" fontId="0" fillId="0" borderId="0" xfId="0" applyNumberFormat="1"/>
    <xf numFmtId="0" fontId="160" fillId="0" borderId="16" xfId="0" applyFont="1" applyFill="1" applyBorder="1" applyAlignment="1" applyProtection="1">
      <alignment horizontal="left" vertical="top"/>
      <protection locked="0"/>
    </xf>
    <xf numFmtId="167" fontId="177" fillId="0" borderId="33" xfId="1" applyNumberFormat="1" applyFont="1" applyFill="1" applyBorder="1" applyAlignment="1" applyProtection="1">
      <alignment horizontal="center" vertical="center" wrapText="1"/>
      <protection locked="0"/>
    </xf>
    <xf numFmtId="0" fontId="177" fillId="0" borderId="6" xfId="0" applyFont="1" applyFill="1" applyBorder="1" applyAlignment="1" applyProtection="1">
      <alignment horizontal="left"/>
      <protection locked="0"/>
    </xf>
    <xf numFmtId="0" fontId="177" fillId="13" borderId="19" xfId="0" applyFont="1" applyFill="1" applyBorder="1" applyAlignment="1" applyProtection="1">
      <alignment horizontal="left"/>
      <protection locked="0"/>
    </xf>
    <xf numFmtId="0" fontId="198" fillId="0" borderId="7" xfId="0" applyFont="1" applyFill="1" applyBorder="1" applyAlignment="1" applyProtection="1">
      <alignment horizontal="left"/>
      <protection locked="0"/>
    </xf>
    <xf numFmtId="0" fontId="160" fillId="0" borderId="0" xfId="0" applyFont="1" applyFill="1" applyBorder="1" applyAlignment="1" applyProtection="1">
      <alignment horizontal="center" vertical="center" wrapText="1"/>
      <protection locked="0"/>
    </xf>
    <xf numFmtId="167" fontId="177" fillId="0" borderId="7" xfId="0" applyNumberFormat="1" applyFont="1" applyFill="1" applyBorder="1" applyAlignment="1" applyProtection="1">
      <alignment horizontal="left"/>
      <protection locked="0"/>
    </xf>
    <xf numFmtId="9" fontId="160" fillId="0" borderId="0" xfId="3" applyFont="1" applyFill="1" applyBorder="1" applyAlignment="1" applyProtection="1">
      <protection locked="0"/>
    </xf>
    <xf numFmtId="167" fontId="161" fillId="0" borderId="0" xfId="1" applyNumberFormat="1" applyFont="1" applyFill="1" applyBorder="1" applyAlignment="1" applyProtection="1">
      <protection locked="0"/>
    </xf>
    <xf numFmtId="167" fontId="161" fillId="0" borderId="4" xfId="1" applyNumberFormat="1" applyFont="1" applyFill="1" applyBorder="1" applyAlignment="1" applyProtection="1">
      <protection locked="0"/>
    </xf>
    <xf numFmtId="164" fontId="160" fillId="0" borderId="0" xfId="2" applyNumberFormat="1" applyFont="1" applyFill="1" applyBorder="1" applyAlignment="1" applyProtection="1">
      <alignment horizontal="center" vertical="center" wrapText="1"/>
      <protection locked="0"/>
    </xf>
    <xf numFmtId="164" fontId="177" fillId="0" borderId="0" xfId="2" applyNumberFormat="1" applyFont="1" applyFill="1" applyBorder="1" applyAlignment="1" applyProtection="1">
      <protection locked="0"/>
    </xf>
    <xf numFmtId="164" fontId="161" fillId="0" borderId="4" xfId="2" applyNumberFormat="1" applyFont="1" applyFill="1" applyBorder="1" applyAlignment="1" applyProtection="1">
      <protection locked="0"/>
    </xf>
    <xf numFmtId="164" fontId="249" fillId="0" borderId="0" xfId="2" applyNumberFormat="1" applyFont="1" applyFill="1" applyBorder="1" applyAlignment="1" applyProtection="1">
      <protection locked="0"/>
    </xf>
    <xf numFmtId="167" fontId="168" fillId="0" borderId="0" xfId="1" applyNumberFormat="1" applyFont="1" applyFill="1" applyBorder="1" applyAlignment="1" applyProtection="1">
      <protection locked="0"/>
    </xf>
    <xf numFmtId="164" fontId="168" fillId="0" borderId="0" xfId="2" applyNumberFormat="1" applyFont="1" applyFill="1" applyBorder="1" applyAlignment="1" applyProtection="1">
      <protection locked="0"/>
    </xf>
    <xf numFmtId="167" fontId="161" fillId="0" borderId="0" xfId="1" applyNumberFormat="1" applyFont="1" applyFill="1" applyBorder="1" applyAlignment="1" applyProtection="1">
      <alignment horizontal="left" indent="1"/>
      <protection locked="0"/>
    </xf>
    <xf numFmtId="167" fontId="168" fillId="13" borderId="0" xfId="1" applyNumberFormat="1" applyFont="1" applyFill="1" applyBorder="1" applyAlignment="1" applyProtection="1">
      <protection locked="0"/>
    </xf>
    <xf numFmtId="164" fontId="168" fillId="13" borderId="0" xfId="2" applyNumberFormat="1" applyFont="1" applyFill="1" applyBorder="1" applyAlignment="1" applyProtection="1">
      <protection locked="0"/>
    </xf>
    <xf numFmtId="167" fontId="161" fillId="13" borderId="0" xfId="1" applyNumberFormat="1" applyFont="1" applyFill="1" applyBorder="1" applyAlignment="1" applyProtection="1">
      <protection locked="0"/>
    </xf>
    <xf numFmtId="0" fontId="177" fillId="0" borderId="16" xfId="0" applyFont="1" applyFill="1" applyBorder="1" applyAlignment="1" applyProtection="1">
      <protection locked="0"/>
    </xf>
    <xf numFmtId="167" fontId="177" fillId="0" borderId="5" xfId="1" applyNumberFormat="1" applyFont="1" applyFill="1" applyBorder="1" applyAlignment="1" applyProtection="1">
      <protection locked="0"/>
    </xf>
    <xf numFmtId="164" fontId="177" fillId="0" borderId="5" xfId="2" applyNumberFormat="1" applyFont="1" applyFill="1" applyBorder="1" applyAlignment="1" applyProtection="1">
      <protection locked="0"/>
    </xf>
    <xf numFmtId="0" fontId="161" fillId="0" borderId="20" xfId="0" applyFont="1" applyFill="1" applyBorder="1" applyAlignment="1" applyProtection="1">
      <alignment horizontal="left"/>
      <protection locked="0"/>
    </xf>
    <xf numFmtId="0" fontId="161" fillId="0" borderId="7" xfId="0" applyFont="1" applyFill="1" applyBorder="1" applyAlignment="1" applyProtection="1">
      <alignment horizontal="left"/>
      <protection locked="0"/>
    </xf>
    <xf numFmtId="0" fontId="168" fillId="0" borderId="41" xfId="0" applyFont="1" applyFill="1" applyBorder="1" applyAlignment="1" applyProtection="1">
      <alignment horizontal="left"/>
      <protection locked="0"/>
    </xf>
    <xf numFmtId="0" fontId="161" fillId="0" borderId="42" xfId="0" applyFont="1" applyFill="1" applyBorder="1" applyAlignment="1" applyProtection="1">
      <alignment horizontal="left"/>
      <protection locked="0"/>
    </xf>
    <xf numFmtId="0" fontId="168" fillId="0" borderId="20" xfId="0" applyFont="1" applyFill="1" applyBorder="1" applyAlignment="1" applyProtection="1">
      <alignment horizontal="left"/>
      <protection locked="0"/>
    </xf>
    <xf numFmtId="0" fontId="181" fillId="13" borderId="20" xfId="0" applyFont="1" applyFill="1" applyBorder="1" applyAlignment="1" applyProtection="1">
      <alignment horizontal="left"/>
      <protection locked="0"/>
    </xf>
    <xf numFmtId="0" fontId="161" fillId="13" borderId="7" xfId="0" applyFont="1" applyFill="1" applyBorder="1" applyAlignment="1" applyProtection="1">
      <alignment horizontal="left"/>
      <protection locked="0"/>
    </xf>
    <xf numFmtId="0" fontId="168" fillId="13" borderId="20" xfId="0" applyFont="1" applyFill="1" applyBorder="1" applyAlignment="1" applyProtection="1">
      <alignment horizontal="left"/>
      <protection locked="0"/>
    </xf>
    <xf numFmtId="0" fontId="168" fillId="13" borderId="17" xfId="0" applyFont="1" applyFill="1" applyBorder="1" applyAlignment="1" applyProtection="1">
      <alignment horizontal="left"/>
      <protection locked="0"/>
    </xf>
    <xf numFmtId="167" fontId="168" fillId="13" borderId="18" xfId="1" applyNumberFormat="1" applyFont="1" applyFill="1" applyBorder="1" applyAlignment="1" applyProtection="1">
      <protection locked="0"/>
    </xf>
    <xf numFmtId="164" fontId="168" fillId="13" borderId="18" xfId="2" applyNumberFormat="1" applyFont="1" applyFill="1" applyBorder="1" applyAlignment="1" applyProtection="1">
      <protection locked="0"/>
    </xf>
    <xf numFmtId="167" fontId="161" fillId="13" borderId="18" xfId="1" applyNumberFormat="1" applyFont="1" applyFill="1" applyBorder="1" applyAlignment="1" applyProtection="1">
      <protection locked="0"/>
    </xf>
    <xf numFmtId="0" fontId="161" fillId="13" borderId="19" xfId="0" applyFont="1" applyFill="1" applyBorder="1" applyAlignment="1" applyProtection="1">
      <alignment horizontal="left"/>
      <protection locked="0"/>
    </xf>
    <xf numFmtId="0" fontId="161" fillId="0" borderId="20" xfId="0" applyFont="1" applyFill="1" applyBorder="1" applyAlignment="1" applyProtection="1">
      <alignment horizontal="left" vertical="top" wrapText="1"/>
      <protection locked="0"/>
    </xf>
    <xf numFmtId="0" fontId="161" fillId="0" borderId="0" xfId="0" applyFont="1" applyFill="1" applyBorder="1" applyAlignment="1" applyProtection="1">
      <alignment horizontal="left" vertical="top" wrapText="1"/>
      <protection locked="0"/>
    </xf>
    <xf numFmtId="0" fontId="161" fillId="0" borderId="7" xfId="0" applyFont="1" applyFill="1" applyBorder="1" applyAlignment="1" applyProtection="1">
      <alignment horizontal="left" vertical="top" wrapText="1"/>
      <protection locked="0"/>
    </xf>
    <xf numFmtId="0" fontId="162" fillId="12" borderId="0" xfId="0" applyFont="1" applyFill="1" applyBorder="1" applyAlignment="1" applyProtection="1">
      <alignment horizontal="center" vertical="center" wrapText="1"/>
      <protection locked="0"/>
    </xf>
    <xf numFmtId="0" fontId="224" fillId="0" borderId="20" xfId="0" applyFont="1" applyFill="1" applyBorder="1" applyAlignment="1" applyProtection="1">
      <alignment horizontal="left" vertical="top" wrapText="1"/>
      <protection locked="0"/>
    </xf>
    <xf numFmtId="0" fontId="224" fillId="0" borderId="0" xfId="0" applyFont="1" applyFill="1" applyBorder="1" applyAlignment="1" applyProtection="1">
      <alignment horizontal="left" vertical="top" wrapText="1"/>
      <protection locked="0"/>
    </xf>
    <xf numFmtId="0" fontId="224" fillId="0" borderId="7" xfId="0" applyFont="1" applyFill="1" applyBorder="1" applyAlignment="1" applyProtection="1">
      <alignment horizontal="left" vertical="top" wrapText="1"/>
      <protection locked="0"/>
    </xf>
    <xf numFmtId="0" fontId="224" fillId="0" borderId="17" xfId="0" applyFont="1" applyFill="1" applyBorder="1" applyAlignment="1" applyProtection="1">
      <alignment horizontal="left" vertical="top" wrapText="1"/>
      <protection locked="0"/>
    </xf>
    <xf numFmtId="0" fontId="224" fillId="0" borderId="18" xfId="0" applyFont="1" applyFill="1" applyBorder="1" applyAlignment="1" applyProtection="1">
      <alignment horizontal="left" vertical="top" wrapText="1"/>
      <protection locked="0"/>
    </xf>
    <xf numFmtId="0" fontId="224" fillId="0" borderId="19" xfId="0" applyFont="1" applyFill="1" applyBorder="1" applyAlignment="1" applyProtection="1">
      <alignment horizontal="left" vertical="top" wrapText="1"/>
      <protection locked="0"/>
    </xf>
    <xf numFmtId="167" fontId="160" fillId="0" borderId="33" xfId="1" applyNumberFormat="1" applyFont="1" applyFill="1" applyBorder="1" applyAlignment="1" applyProtection="1">
      <alignment horizontal="center" vertical="center" wrapText="1"/>
      <protection locked="0"/>
    </xf>
    <xf numFmtId="167" fontId="160" fillId="0" borderId="31" xfId="1" applyNumberFormat="1" applyFont="1" applyFill="1" applyBorder="1" applyAlignment="1" applyProtection="1">
      <alignment horizontal="center" vertical="center" wrapText="1"/>
      <protection locked="0"/>
    </xf>
    <xf numFmtId="167" fontId="160" fillId="0" borderId="32" xfId="1" applyNumberFormat="1" applyFont="1" applyFill="1" applyBorder="1" applyAlignment="1" applyProtection="1">
      <alignment horizontal="center" vertical="center" wrapText="1"/>
      <protection locked="0"/>
    </xf>
    <xf numFmtId="0" fontId="160" fillId="0" borderId="34" xfId="0" applyFont="1" applyFill="1" applyBorder="1" applyAlignment="1" applyProtection="1">
      <alignment horizontal="center" vertical="center"/>
      <protection locked="0"/>
    </xf>
    <xf numFmtId="0" fontId="160" fillId="0" borderId="35" xfId="0" applyFont="1" applyFill="1" applyBorder="1" applyAlignment="1" applyProtection="1">
      <alignment horizontal="center" vertical="center"/>
      <protection locked="0"/>
    </xf>
    <xf numFmtId="0" fontId="160" fillId="0" borderId="36" xfId="0" applyFont="1" applyFill="1" applyBorder="1" applyAlignment="1" applyProtection="1">
      <alignment horizontal="center" vertical="center"/>
      <protection locked="0"/>
    </xf>
    <xf numFmtId="0" fontId="160" fillId="0" borderId="28" xfId="0" applyFont="1" applyFill="1" applyBorder="1" applyAlignment="1" applyProtection="1">
      <alignment horizontal="right" vertical="center" wrapText="1"/>
      <protection locked="0"/>
    </xf>
    <xf numFmtId="0" fontId="160" fillId="0" borderId="37" xfId="0" applyFont="1" applyFill="1" applyBorder="1" applyAlignment="1" applyProtection="1">
      <alignment horizontal="right" vertical="center" wrapText="1"/>
      <protection locked="0"/>
    </xf>
    <xf numFmtId="0" fontId="160" fillId="0" borderId="29" xfId="0" applyFont="1" applyFill="1" applyBorder="1" applyAlignment="1" applyProtection="1">
      <alignment horizontal="right" vertical="center" wrapText="1"/>
      <protection locked="0"/>
    </xf>
    <xf numFmtId="0" fontId="160" fillId="0" borderId="23" xfId="0" applyFont="1" applyFill="1" applyBorder="1" applyAlignment="1" applyProtection="1">
      <alignment horizontal="right" vertical="center" wrapText="1"/>
      <protection locked="0"/>
    </xf>
    <xf numFmtId="0" fontId="160" fillId="0" borderId="30" xfId="0" applyFont="1" applyFill="1" applyBorder="1" applyAlignment="1" applyProtection="1">
      <alignment horizontal="right" vertical="center" wrapText="1"/>
      <protection locked="0"/>
    </xf>
    <xf numFmtId="0" fontId="160" fillId="0" borderId="38" xfId="0" applyFont="1" applyFill="1" applyBorder="1" applyAlignment="1" applyProtection="1">
      <alignment horizontal="right" vertical="center" wrapText="1"/>
      <protection locked="0"/>
    </xf>
    <xf numFmtId="0" fontId="177" fillId="0" borderId="7" xfId="0" applyFont="1" applyFill="1" applyBorder="1" applyAlignment="1" applyProtection="1">
      <alignment horizontal="left" vertical="center" wrapText="1"/>
      <protection locked="0"/>
    </xf>
    <xf numFmtId="0" fontId="198" fillId="0" borderId="7" xfId="0" applyFont="1" applyFill="1" applyBorder="1" applyAlignment="1" applyProtection="1">
      <alignment horizontal="left" vertical="center" wrapText="1"/>
      <protection locked="0"/>
    </xf>
    <xf numFmtId="0" fontId="161" fillId="0" borderId="0" xfId="0" applyFont="1" applyFill="1" applyBorder="1" applyAlignment="1" applyProtection="1">
      <alignment horizontal="left" vertical="center" wrapText="1"/>
      <protection locked="0"/>
    </xf>
    <xf numFmtId="0" fontId="201" fillId="0" borderId="0" xfId="0" applyFont="1" applyFill="1" applyBorder="1" applyAlignment="1" applyProtection="1">
      <alignment horizontal="left"/>
      <protection locked="0"/>
    </xf>
    <xf numFmtId="166" fontId="212" fillId="0" borderId="0" xfId="0" applyNumberFormat="1" applyFont="1" applyFill="1" applyBorder="1" applyAlignment="1" applyProtection="1">
      <alignment horizontal="center" vertical="center" wrapText="1"/>
      <protection locked="0"/>
    </xf>
    <xf numFmtId="165" fontId="210" fillId="0" borderId="0" xfId="0" applyNumberFormat="1" applyFont="1" applyFill="1" applyBorder="1" applyAlignment="1" applyProtection="1">
      <alignment horizontal="center" wrapText="1"/>
      <protection locked="0"/>
    </xf>
    <xf numFmtId="0" fontId="160" fillId="0" borderId="0" xfId="0" applyFont="1" applyFill="1" applyBorder="1" applyAlignment="1" applyProtection="1">
      <alignment horizontal="center" vertical="center" wrapText="1"/>
      <protection locked="0"/>
    </xf>
    <xf numFmtId="0" fontId="168" fillId="0" borderId="0" xfId="0" applyFont="1" applyFill="1" applyBorder="1" applyAlignment="1" applyProtection="1">
      <alignment horizontal="left"/>
      <protection locked="0"/>
    </xf>
    <xf numFmtId="0" fontId="240" fillId="0" borderId="0" xfId="0" applyFont="1" applyFill="1" applyBorder="1" applyAlignment="1" applyProtection="1">
      <alignment horizontal="left" vertical="top" wrapText="1"/>
      <protection locked="0"/>
    </xf>
    <xf numFmtId="0" fontId="161" fillId="0" borderId="0" xfId="0" applyFont="1" applyFill="1" applyBorder="1" applyAlignment="1" applyProtection="1">
      <alignment horizontal="left" vertical="center"/>
      <protection locked="0"/>
    </xf>
    <xf numFmtId="166" fontId="185" fillId="0" borderId="0" xfId="0" applyNumberFormat="1" applyFont="1" applyFill="1" applyBorder="1" applyAlignment="1" applyProtection="1">
      <alignment horizontal="center" vertical="center" wrapText="1"/>
      <protection locked="0"/>
    </xf>
    <xf numFmtId="0" fontId="179" fillId="0" borderId="0" xfId="0" applyFont="1" applyFill="1" applyBorder="1" applyAlignment="1" applyProtection="1">
      <alignment horizontal="center" vertical="center" wrapText="1"/>
      <protection locked="0"/>
    </xf>
    <xf numFmtId="0" fontId="149" fillId="0" borderId="0" xfId="0" applyFont="1" applyFill="1" applyBorder="1" applyAlignment="1" applyProtection="1">
      <alignment horizontal="center" wrapText="1"/>
      <protection locked="0"/>
    </xf>
    <xf numFmtId="0" fontId="168" fillId="0" borderId="0" xfId="0" applyFont="1" applyFill="1" applyBorder="1" applyAlignment="1" applyProtection="1">
      <alignment horizontal="center"/>
      <protection locked="0"/>
    </xf>
    <xf numFmtId="0" fontId="238" fillId="0" borderId="0" xfId="0" applyFont="1" applyFill="1" applyBorder="1" applyAlignment="1" applyProtection="1">
      <alignment horizontal="left" vertical="top" wrapText="1"/>
      <protection locked="0"/>
    </xf>
    <xf numFmtId="166" fontId="193" fillId="0" borderId="0" xfId="0" applyNumberFormat="1" applyFont="1" applyFill="1" applyBorder="1" applyAlignment="1" applyProtection="1">
      <alignment horizontal="center" vertical="center" wrapText="1"/>
      <protection locked="0"/>
    </xf>
    <xf numFmtId="0" fontId="132" fillId="0" borderId="0" xfId="0" applyFont="1" applyAlignment="1">
      <alignment horizontal="left" wrapText="1"/>
    </xf>
    <xf numFmtId="0" fontId="41" fillId="3" borderId="0" xfId="0" applyFont="1" applyFill="1" applyAlignment="1">
      <alignment horizontal="right" indent="1"/>
    </xf>
    <xf numFmtId="38" fontId="144" fillId="0" borderId="0" xfId="0" applyNumberFormat="1" applyFont="1" applyFill="1" applyBorder="1" applyAlignment="1" applyProtection="1">
      <alignment horizontal="center" wrapText="1"/>
      <protection locked="0"/>
    </xf>
    <xf numFmtId="0" fontId="101"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0" fontId="141" fillId="4" borderId="0" xfId="0" applyFont="1" applyFill="1" applyBorder="1" applyAlignment="1" applyProtection="1">
      <alignment horizontal="center" vertical="center" wrapText="1"/>
      <protection locked="0"/>
    </xf>
    <xf numFmtId="0" fontId="139" fillId="4" borderId="0" xfId="0" applyFont="1" applyFill="1" applyBorder="1" applyAlignment="1" applyProtection="1">
      <alignment horizontal="center" vertical="center" wrapText="1"/>
      <protection locked="0"/>
    </xf>
    <xf numFmtId="0" fontId="44" fillId="0" borderId="0" xfId="0" applyFont="1" applyFill="1" applyBorder="1" applyAlignment="1">
      <alignment horizontal="center" vertical="center" wrapText="1"/>
    </xf>
    <xf numFmtId="0" fontId="25" fillId="0" borderId="0" xfId="0" applyNumberFormat="1" applyFont="1" applyFill="1" applyAlignment="1">
      <alignment horizontal="center"/>
    </xf>
    <xf numFmtId="0" fontId="26" fillId="0" borderId="0" xfId="0" applyNumberFormat="1" applyFont="1" applyFill="1" applyAlignment="1">
      <alignment horizontal="center"/>
    </xf>
    <xf numFmtId="0" fontId="27" fillId="0" borderId="0" xfId="0" applyNumberFormat="1" applyFont="1" applyFill="1" applyBorder="1" applyAlignment="1">
      <alignment horizontal="center"/>
    </xf>
    <xf numFmtId="0" fontId="29" fillId="0" borderId="0" xfId="0" applyNumberFormat="1" applyFont="1" applyFill="1" applyAlignment="1">
      <alignment horizontal="center"/>
    </xf>
    <xf numFmtId="0" fontId="9" fillId="5" borderId="0" xfId="0" applyFont="1" applyFill="1" applyBorder="1" applyAlignment="1">
      <alignment horizontal="center" wrapText="1"/>
    </xf>
    <xf numFmtId="0" fontId="9" fillId="5" borderId="15" xfId="0" applyFont="1" applyFill="1" applyBorder="1" applyAlignment="1">
      <alignment horizontal="center" wrapText="1"/>
    </xf>
    <xf numFmtId="0" fontId="67" fillId="0" borderId="0" xfId="0" applyFont="1" applyBorder="1" applyAlignment="1">
      <alignment horizontal="left" vertical="center" wrapText="1"/>
    </xf>
    <xf numFmtId="0" fontId="67" fillId="0" borderId="8" xfId="0" applyFont="1" applyBorder="1" applyAlignment="1">
      <alignment horizontal="left" vertical="center"/>
    </xf>
    <xf numFmtId="0" fontId="67" fillId="0" borderId="0" xfId="0" applyFont="1" applyBorder="1" applyAlignment="1">
      <alignment horizontal="left" vertical="center"/>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 xfId="0" applyFont="1" applyBorder="1" applyAlignment="1">
      <alignment horizontal="center" vertical="center" wrapText="1"/>
    </xf>
    <xf numFmtId="0" fontId="65" fillId="0" borderId="0" xfId="0" applyFont="1" applyBorder="1" applyAlignment="1">
      <alignment horizontal="center" vertical="center"/>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15"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5" borderId="0" xfId="0" applyFont="1" applyFill="1" applyBorder="1" applyAlignment="1">
      <alignment horizontal="center" vertical="center" wrapText="1"/>
    </xf>
    <xf numFmtId="0" fontId="10" fillId="5" borderId="15"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dget334.googlegroups.com/Users/cindyparra/Library/Mail%20Downloads/2009-10_Budget-8_new_plan-%205.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334.googlegroups.com/Users/Jamie%202009%20work/AppData/Local/Microsoft/Windows/Temporary%20Internet%20Files/Low/Content.IE5/K4KQEG6Q/Teachers%20Assistants%20for%202011%20draft%20budget%20as%20of%20Jan%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issues "/>
      <sheetName val="OVERALL BUDGET W YTD 4-09"/>
      <sheetName val="Fundraising"/>
      <sheetName val="Overall Budget"/>
      <sheetName val="SUMMARIZED BUDGETS FOR PTA RVSD"/>
      <sheetName val="PTA BUDGET"/>
      <sheetName val="PTA Presentation version"/>
      <sheetName val="Personnel @ 36 wks"/>
      <sheetName val="Personnel+2 class @ 36 wks (2)"/>
      <sheetName val="Enrich calc 2009-2010"/>
      <sheetName val="Enrichmt Houly Bkdwn"/>
      <sheetName val="ENRICHMENTS &amp; ELECTIVES 5.5.08"/>
      <sheetName val="PTA Fundraising"/>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9">
          <cell r="I29">
            <v>9360</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eacher Assistants"/>
      <sheetName val="TAs by Teacher and Grade"/>
      <sheetName val="Teachers Assistant Graph"/>
      <sheetName val="Reconciliation"/>
      <sheetName val="Donna's Sheet"/>
      <sheetName val="GRID"/>
      <sheetName val="Jamie's sheet"/>
      <sheetName val="Teaching Assistants"/>
      <sheetName val="WITH RECESS BROKEN OUT"/>
    </sheetNames>
    <sheetDataSet>
      <sheetData sheetId="0" refreshError="1"/>
      <sheetData sheetId="1" refreshError="1"/>
      <sheetData sheetId="2" refreshError="1"/>
      <sheetData sheetId="3" refreshError="1"/>
      <sheetData sheetId="4">
        <row r="1">
          <cell r="D1">
            <v>32.5</v>
          </cell>
          <cell r="E1">
            <v>20</v>
          </cell>
          <cell r="K1">
            <v>32.5</v>
          </cell>
          <cell r="L1">
            <v>25</v>
          </cell>
          <cell r="O1">
            <v>25</v>
          </cell>
          <cell r="Q1">
            <v>25</v>
          </cell>
        </row>
        <row r="2">
          <cell r="D2" t="str">
            <v>Alperin, M</v>
          </cell>
          <cell r="F2" t="str">
            <v>Devine, L</v>
          </cell>
          <cell r="J2" t="str">
            <v>Garces, C</v>
          </cell>
          <cell r="K2" t="str">
            <v>Garcia, S</v>
          </cell>
          <cell r="L2" t="str">
            <v>Kim, C</v>
          </cell>
          <cell r="O2" t="str">
            <v>LeFleur, S</v>
          </cell>
          <cell r="T2" t="str">
            <v>Roberts, L</v>
          </cell>
          <cell r="V2" t="str">
            <v>Warner, D</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zoomScaleNormal="100" zoomScaleSheetLayoutView="100" workbookViewId="0">
      <pane ySplit="3" topLeftCell="A4" activePane="bottomLeft" state="frozen"/>
      <selection pane="bottomLeft" activeCell="B37" sqref="B37"/>
    </sheetView>
    <sheetView showGridLines="0" zoomScaleNormal="100" workbookViewId="1">
      <selection activeCell="B22" sqref="B22"/>
    </sheetView>
  </sheetViews>
  <sheetFormatPr defaultColWidth="9.109375" defaultRowHeight="13.8"/>
  <cols>
    <col min="1" max="1" width="27" style="488" customWidth="1"/>
    <col min="2" max="2" width="47" style="628" customWidth="1"/>
    <col min="3" max="3" width="15.109375" style="715" customWidth="1"/>
    <col min="4" max="4" width="15.44140625" style="628" customWidth="1"/>
    <col min="5" max="5" width="29.6640625" style="488" customWidth="1"/>
    <col min="6" max="6" width="19" style="619" customWidth="1"/>
    <col min="7" max="8" width="9.109375" style="619"/>
    <col min="9" max="9" width="11" style="619" bestFit="1" customWidth="1"/>
    <col min="10" max="16384" width="9.109375" style="619"/>
  </cols>
  <sheetData>
    <row r="1" spans="1:10" ht="23.4">
      <c r="A1" s="743" t="s">
        <v>745</v>
      </c>
      <c r="B1" s="743"/>
      <c r="C1" s="743"/>
      <c r="D1" s="743"/>
      <c r="E1" s="743"/>
    </row>
    <row r="2" spans="1:10" ht="23.4">
      <c r="A2" s="743" t="s">
        <v>781</v>
      </c>
      <c r="B2" s="743"/>
      <c r="C2" s="743"/>
      <c r="D2" s="743"/>
      <c r="E2" s="743"/>
    </row>
    <row r="3" spans="1:10" ht="14.4" thickBot="1">
      <c r="A3" s="709"/>
      <c r="B3" s="626"/>
      <c r="C3" s="714"/>
      <c r="D3" s="626"/>
      <c r="E3" s="668"/>
    </row>
    <row r="4" spans="1:10">
      <c r="A4" s="724"/>
      <c r="B4" s="725"/>
      <c r="C4" s="726"/>
      <c r="D4" s="725"/>
      <c r="E4" s="706"/>
    </row>
    <row r="5" spans="1:10" s="462" customFormat="1" ht="147" customHeight="1">
      <c r="A5" s="740" t="s">
        <v>815</v>
      </c>
      <c r="B5" s="741"/>
      <c r="C5" s="741"/>
      <c r="D5" s="741"/>
      <c r="E5" s="742"/>
    </row>
    <row r="6" spans="1:10" s="462" customFormat="1" ht="15.6">
      <c r="A6" s="727"/>
      <c r="B6" s="712"/>
      <c r="C6" s="464"/>
      <c r="D6" s="712"/>
      <c r="E6" s="728"/>
    </row>
    <row r="7" spans="1:10" s="462" customFormat="1" ht="15.6">
      <c r="A7" s="729" t="s">
        <v>814</v>
      </c>
      <c r="B7" s="713"/>
      <c r="C7" s="716"/>
      <c r="D7" s="713"/>
      <c r="E7" s="730"/>
    </row>
    <row r="8" spans="1:10" s="462" customFormat="1" ht="15.6">
      <c r="A8" s="727"/>
      <c r="B8" s="712"/>
      <c r="C8" s="464"/>
      <c r="D8" s="712"/>
      <c r="E8" s="728"/>
    </row>
    <row r="9" spans="1:10" s="462" customFormat="1" ht="15.6">
      <c r="A9" s="731" t="s">
        <v>784</v>
      </c>
      <c r="B9" s="712" t="s">
        <v>786</v>
      </c>
      <c r="C9" s="464">
        <f>'FY11-12V2FinalDraft'!C28</f>
        <v>827777.52</v>
      </c>
      <c r="D9" s="712"/>
      <c r="E9" s="728"/>
    </row>
    <row r="10" spans="1:10" s="462" customFormat="1" ht="17.399999999999999">
      <c r="A10" s="731" t="s">
        <v>785</v>
      </c>
      <c r="B10" s="712" t="s">
        <v>787</v>
      </c>
      <c r="C10" s="717">
        <f>'FY11-12V2FinalDraft'!C113</f>
        <v>-772421.08000000007</v>
      </c>
      <c r="D10" s="712"/>
      <c r="E10" s="728"/>
    </row>
    <row r="11" spans="1:10" s="712" customFormat="1" ht="15.6">
      <c r="A11" s="732"/>
      <c r="B11" s="721" t="s">
        <v>801</v>
      </c>
      <c r="C11" s="722">
        <f>SUM(C9:C10)</f>
        <v>55356.439999999944</v>
      </c>
      <c r="D11" s="723" t="s">
        <v>791</v>
      </c>
      <c r="E11" s="733"/>
      <c r="F11" s="462"/>
      <c r="G11" s="462"/>
      <c r="H11" s="462"/>
      <c r="I11" s="462"/>
      <c r="J11" s="462"/>
    </row>
    <row r="12" spans="1:10" s="462" customFormat="1" ht="15.6">
      <c r="A12" s="727"/>
      <c r="B12" s="712"/>
      <c r="C12" s="464"/>
      <c r="D12" s="712"/>
      <c r="E12" s="728"/>
    </row>
    <row r="13" spans="1:10" s="462" customFormat="1" ht="15.6">
      <c r="A13" s="731" t="s">
        <v>788</v>
      </c>
      <c r="B13" s="712" t="s">
        <v>804</v>
      </c>
      <c r="C13" s="464">
        <f>'FY11-12V2FinalDraft'!D15</f>
        <v>41171.790000000008</v>
      </c>
      <c r="D13" s="712"/>
      <c r="E13" s="728"/>
    </row>
    <row r="14" spans="1:10" s="462" customFormat="1" ht="15.6">
      <c r="A14" s="727"/>
      <c r="B14" s="712" t="s">
        <v>805</v>
      </c>
      <c r="C14" s="464">
        <f>'FY11-12V2FinalDraft'!D19</f>
        <v>18000</v>
      </c>
      <c r="D14" s="712"/>
      <c r="E14" s="728"/>
    </row>
    <row r="15" spans="1:10" s="462" customFormat="1" ht="17.399999999999999">
      <c r="A15" s="727"/>
      <c r="B15" s="712" t="s">
        <v>806</v>
      </c>
      <c r="C15" s="717">
        <f>'FY11-12V2FinalDraft'!D28-C14-C13</f>
        <v>8515.700000000099</v>
      </c>
      <c r="D15" s="712"/>
      <c r="E15" s="728"/>
    </row>
    <row r="16" spans="1:10" s="462" customFormat="1" ht="15.6">
      <c r="A16" s="727"/>
      <c r="B16" s="718" t="s">
        <v>792</v>
      </c>
      <c r="C16" s="719">
        <f>SUM(C13:C15)</f>
        <v>67687.490000000107</v>
      </c>
      <c r="D16" s="712"/>
      <c r="E16" s="728"/>
    </row>
    <row r="17" spans="1:5" s="462" customFormat="1" ht="15.6">
      <c r="A17" s="727"/>
      <c r="B17" s="712"/>
      <c r="C17" s="464"/>
      <c r="D17" s="712"/>
      <c r="E17" s="728"/>
    </row>
    <row r="18" spans="1:5" s="462" customFormat="1" ht="15.6">
      <c r="A18" s="731" t="s">
        <v>789</v>
      </c>
      <c r="B18" s="712" t="s">
        <v>790</v>
      </c>
      <c r="C18" s="464"/>
      <c r="D18" s="712"/>
      <c r="E18" s="728"/>
    </row>
    <row r="19" spans="1:5" s="462" customFormat="1" ht="15.6">
      <c r="A19" s="727"/>
      <c r="B19" s="720" t="s">
        <v>794</v>
      </c>
      <c r="C19" s="464">
        <f>-70700</f>
        <v>-70700</v>
      </c>
      <c r="D19" s="712" t="s">
        <v>809</v>
      </c>
      <c r="E19" s="728"/>
    </row>
    <row r="20" spans="1:5" s="462" customFormat="1" ht="15.6">
      <c r="A20" s="727"/>
      <c r="B20" s="720" t="s">
        <v>795</v>
      </c>
      <c r="C20" s="464">
        <v>-38400</v>
      </c>
      <c r="D20" s="712" t="s">
        <v>809</v>
      </c>
      <c r="E20" s="728"/>
    </row>
    <row r="21" spans="1:5" s="462" customFormat="1" ht="15.6">
      <c r="A21" s="727"/>
      <c r="B21" s="720" t="s">
        <v>796</v>
      </c>
      <c r="C21" s="464">
        <v>-62400</v>
      </c>
      <c r="D21" s="712" t="s">
        <v>809</v>
      </c>
      <c r="E21" s="728"/>
    </row>
    <row r="22" spans="1:5" s="462" customFormat="1" ht="15.6">
      <c r="A22" s="727"/>
      <c r="B22" s="720" t="s">
        <v>811</v>
      </c>
      <c r="C22" s="464">
        <v>-6000</v>
      </c>
      <c r="D22" s="712" t="s">
        <v>809</v>
      </c>
      <c r="E22" s="728"/>
    </row>
    <row r="23" spans="1:5" s="462" customFormat="1" ht="15.6">
      <c r="A23" s="727"/>
      <c r="B23" s="720" t="s">
        <v>812</v>
      </c>
      <c r="C23" s="464">
        <v>18000</v>
      </c>
      <c r="D23" s="712" t="s">
        <v>808</v>
      </c>
      <c r="E23" s="728"/>
    </row>
    <row r="24" spans="1:5" s="462" customFormat="1" ht="17.399999999999999">
      <c r="A24" s="727"/>
      <c r="B24" s="720" t="s">
        <v>813</v>
      </c>
      <c r="C24" s="717">
        <v>30000</v>
      </c>
      <c r="D24" s="712"/>
      <c r="E24" s="728"/>
    </row>
    <row r="25" spans="1:5" s="462" customFormat="1" ht="15.6">
      <c r="A25" s="727"/>
      <c r="B25" s="712" t="s">
        <v>797</v>
      </c>
      <c r="C25" s="464">
        <f>SUM(C19:C24)</f>
        <v>-129500</v>
      </c>
      <c r="D25" s="712"/>
      <c r="E25" s="728"/>
    </row>
    <row r="26" spans="1:5" s="462" customFormat="1" ht="17.399999999999999">
      <c r="A26" s="727"/>
      <c r="B26" s="712" t="s">
        <v>798</v>
      </c>
      <c r="C26" s="717">
        <v>8000</v>
      </c>
      <c r="D26" s="712" t="s">
        <v>799</v>
      </c>
      <c r="E26" s="728"/>
    </row>
    <row r="27" spans="1:5" s="462" customFormat="1" ht="15.6">
      <c r="A27" s="727"/>
      <c r="B27" s="718" t="s">
        <v>800</v>
      </c>
      <c r="C27" s="719">
        <f>SUM(C25:C26)</f>
        <v>-121500</v>
      </c>
      <c r="D27" s="712"/>
      <c r="E27" s="728"/>
    </row>
    <row r="28" spans="1:5" s="462" customFormat="1" ht="15.6">
      <c r="A28" s="727"/>
      <c r="B28" s="712"/>
      <c r="C28" s="464"/>
      <c r="D28" s="712"/>
      <c r="E28" s="728"/>
    </row>
    <row r="29" spans="1:5" s="462" customFormat="1" ht="15.6">
      <c r="A29" s="734" t="s">
        <v>802</v>
      </c>
      <c r="B29" s="721"/>
      <c r="C29" s="722">
        <f>C16+C27</f>
        <v>-53812.509999999893</v>
      </c>
      <c r="D29" s="723"/>
      <c r="E29" s="733"/>
    </row>
    <row r="30" spans="1:5" s="462" customFormat="1" ht="15.6">
      <c r="A30" s="727"/>
      <c r="B30" s="712"/>
      <c r="C30" s="464"/>
      <c r="D30" s="712"/>
      <c r="E30" s="728"/>
    </row>
    <row r="31" spans="1:5" s="462" customFormat="1" ht="16.2" thickBot="1">
      <c r="A31" s="735" t="s">
        <v>803</v>
      </c>
      <c r="B31" s="736"/>
      <c r="C31" s="737">
        <f>C11+C29</f>
        <v>1543.9300000000512</v>
      </c>
      <c r="D31" s="738" t="s">
        <v>807</v>
      </c>
      <c r="E31" s="739"/>
    </row>
    <row r="32" spans="1:5" s="462" customFormat="1" ht="15.6">
      <c r="A32" s="477"/>
      <c r="B32" s="712"/>
      <c r="C32" s="464"/>
      <c r="D32" s="712"/>
      <c r="E32" s="477"/>
    </row>
    <row r="33" spans="1:5" s="462" customFormat="1" ht="15.6">
      <c r="A33" s="477"/>
      <c r="B33" s="712"/>
      <c r="C33" s="464"/>
      <c r="D33" s="712"/>
      <c r="E33" s="477"/>
    </row>
    <row r="34" spans="1:5" s="462" customFormat="1" ht="15.6">
      <c r="A34" s="477"/>
      <c r="B34" s="712"/>
      <c r="C34" s="464"/>
      <c r="D34" s="712"/>
      <c r="E34" s="477"/>
    </row>
    <row r="35" spans="1:5" s="462" customFormat="1" ht="15.6">
      <c r="A35" s="477"/>
      <c r="B35" s="712"/>
      <c r="C35" s="464"/>
      <c r="D35" s="712"/>
      <c r="E35" s="477"/>
    </row>
    <row r="36" spans="1:5" s="462" customFormat="1" ht="15.6">
      <c r="A36" s="477"/>
      <c r="B36" s="712"/>
      <c r="C36" s="464"/>
      <c r="D36" s="712"/>
      <c r="E36" s="477"/>
    </row>
    <row r="37" spans="1:5" s="462" customFormat="1" ht="15.6">
      <c r="A37" s="477"/>
      <c r="B37" s="712"/>
      <c r="C37" s="464"/>
      <c r="D37" s="712"/>
      <c r="E37" s="477"/>
    </row>
    <row r="38" spans="1:5" s="462" customFormat="1" ht="15.6">
      <c r="A38" s="477"/>
      <c r="B38" s="712"/>
      <c r="C38" s="464"/>
      <c r="D38" s="712"/>
      <c r="E38" s="477"/>
    </row>
    <row r="39" spans="1:5" s="462" customFormat="1" ht="15.6">
      <c r="A39" s="477"/>
      <c r="B39" s="712"/>
      <c r="C39" s="464"/>
      <c r="D39" s="712"/>
      <c r="E39" s="477"/>
    </row>
  </sheetData>
  <sheetProtection selectLockedCells="1" selectUnlockedCells="1"/>
  <mergeCells count="3">
    <mergeCell ref="A5:E5"/>
    <mergeCell ref="A1:E1"/>
    <mergeCell ref="A2:E2"/>
  </mergeCells>
  <pageMargins left="0.25" right="0.25" top="0.25" bottom="0.5" header="0.25" footer="0.25"/>
  <pageSetup scale="75" fitToHeight="3" orientation="portrait" horizontalDpi="4294967293" verticalDpi="4294967293" r:id="rId1"/>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C13"/>
    </sheetView>
    <sheetView workbookViewId="1">
      <selection sqref="A1:C1"/>
    </sheetView>
  </sheetViews>
  <sheetFormatPr defaultColWidth="8.88671875" defaultRowHeight="14.4"/>
  <cols>
    <col min="1" max="1" width="46.5546875" customWidth="1"/>
    <col min="2" max="2" width="13.88671875" customWidth="1"/>
    <col min="3" max="3" width="67.44140625" customWidth="1"/>
    <col min="4" max="4" width="63.6640625" hidden="1" customWidth="1"/>
  </cols>
  <sheetData>
    <row r="1" spans="1:4" s="69" customFormat="1" ht="43.5" customHeight="1">
      <c r="A1" s="785" t="s">
        <v>272</v>
      </c>
      <c r="B1" s="785"/>
      <c r="C1" s="785"/>
      <c r="D1" s="71"/>
    </row>
    <row r="2" spans="1:4" s="69" customFormat="1" ht="20.399999999999999">
      <c r="A2" s="71" t="s">
        <v>273</v>
      </c>
      <c r="B2" s="431" t="s">
        <v>178</v>
      </c>
      <c r="C2" s="71"/>
      <c r="D2" s="71"/>
    </row>
    <row r="3" spans="1:4" s="1" customFormat="1" ht="17.25" customHeight="1">
      <c r="A3" s="429" t="s">
        <v>166</v>
      </c>
      <c r="B3" s="50">
        <v>4400</v>
      </c>
      <c r="C3" s="2" t="s">
        <v>178</v>
      </c>
      <c r="D3" s="51"/>
    </row>
    <row r="4" spans="1:4" s="1" customFormat="1" ht="20.100000000000001" customHeight="1">
      <c r="A4" s="430" t="s">
        <v>192</v>
      </c>
      <c r="B4" s="50">
        <v>16000</v>
      </c>
      <c r="C4" s="3" t="s">
        <v>631</v>
      </c>
      <c r="D4" s="51"/>
    </row>
    <row r="5" spans="1:4" s="1" customFormat="1" ht="20.100000000000001" customHeight="1">
      <c r="A5" s="429" t="s">
        <v>628</v>
      </c>
      <c r="B5" s="50">
        <v>1800</v>
      </c>
      <c r="C5" s="2" t="s">
        <v>178</v>
      </c>
      <c r="D5" s="52"/>
    </row>
    <row r="6" spans="1:4" s="1" customFormat="1" ht="20.100000000000001" customHeight="1">
      <c r="A6" s="429" t="s">
        <v>630</v>
      </c>
      <c r="B6" s="50">
        <v>5000</v>
      </c>
      <c r="C6" s="2" t="s">
        <v>178</v>
      </c>
      <c r="D6" s="53"/>
    </row>
    <row r="7" spans="1:4" s="1" customFormat="1" ht="20.100000000000001" customHeight="1">
      <c r="A7" s="429" t="s">
        <v>629</v>
      </c>
      <c r="B7" s="50">
        <v>5000</v>
      </c>
      <c r="C7" s="2" t="s">
        <v>168</v>
      </c>
      <c r="D7" s="51"/>
    </row>
    <row r="8" spans="1:4" s="1" customFormat="1" ht="20.100000000000001" customHeight="1">
      <c r="A8" s="429" t="s">
        <v>169</v>
      </c>
      <c r="B8" s="50">
        <v>5000</v>
      </c>
      <c r="C8" s="2" t="s">
        <v>172</v>
      </c>
      <c r="D8" s="51"/>
    </row>
    <row r="9" spans="1:4" s="1" customFormat="1" ht="20.100000000000001" customHeight="1">
      <c r="A9" s="429" t="s">
        <v>170</v>
      </c>
      <c r="B9" s="50">
        <v>5000</v>
      </c>
      <c r="C9" s="2" t="s">
        <v>173</v>
      </c>
      <c r="D9" s="51"/>
    </row>
    <row r="10" spans="1:4" s="1" customFormat="1" ht="20.100000000000001" customHeight="1">
      <c r="A10" s="429" t="s">
        <v>171</v>
      </c>
      <c r="B10" s="50">
        <v>5000</v>
      </c>
      <c r="C10" s="2" t="s">
        <v>173</v>
      </c>
      <c r="D10" s="51"/>
    </row>
    <row r="11" spans="1:4" ht="18.75" customHeight="1">
      <c r="A11" s="93" t="s">
        <v>627</v>
      </c>
      <c r="B11" s="432">
        <v>32000</v>
      </c>
    </row>
    <row r="12" spans="1:4" ht="17.25" customHeight="1">
      <c r="A12" s="331" t="s">
        <v>626</v>
      </c>
      <c r="B12" s="70" t="s">
        <v>178</v>
      </c>
      <c r="C12" s="2" t="s">
        <v>592</v>
      </c>
    </row>
    <row r="13" spans="1:4">
      <c r="B13" s="70">
        <f>SUM(B3:B12)</f>
        <v>79200</v>
      </c>
    </row>
    <row r="14" spans="1:4">
      <c r="B14" s="70" t="s">
        <v>178</v>
      </c>
    </row>
  </sheetData>
  <mergeCells count="1">
    <mergeCell ref="A1:C1"/>
  </mergeCells>
  <phoneticPr fontId="9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8"/>
  <sheetViews>
    <sheetView workbookViewId="0"/>
    <sheetView workbookViewId="1"/>
  </sheetViews>
  <sheetFormatPr defaultColWidth="8.88671875" defaultRowHeight="14.4"/>
  <sheetData>
    <row r="1" spans="3:15">
      <c r="C1" s="73" t="s">
        <v>300</v>
      </c>
    </row>
    <row r="2" spans="3:15">
      <c r="C2" s="73" t="s">
        <v>301</v>
      </c>
      <c r="J2" s="73" t="s">
        <v>302</v>
      </c>
    </row>
    <row r="3" spans="3:15">
      <c r="C3" t="s">
        <v>297</v>
      </c>
      <c r="H3" s="72">
        <v>3700</v>
      </c>
      <c r="J3" t="s">
        <v>303</v>
      </c>
      <c r="O3" s="72">
        <v>2400</v>
      </c>
    </row>
    <row r="4" spans="3:15">
      <c r="D4" t="s">
        <v>298</v>
      </c>
      <c r="E4" t="s">
        <v>304</v>
      </c>
      <c r="G4" s="72">
        <v>2500</v>
      </c>
      <c r="K4" t="s">
        <v>298</v>
      </c>
      <c r="L4" t="s">
        <v>305</v>
      </c>
      <c r="N4" s="72">
        <v>1500</v>
      </c>
    </row>
    <row r="5" spans="3:15">
      <c r="D5" t="s">
        <v>299</v>
      </c>
      <c r="E5" t="s">
        <v>306</v>
      </c>
      <c r="G5" s="72">
        <v>1200</v>
      </c>
      <c r="K5" t="s">
        <v>307</v>
      </c>
      <c r="L5" t="s">
        <v>308</v>
      </c>
      <c r="N5" s="72">
        <v>900</v>
      </c>
    </row>
    <row r="7" spans="3:15">
      <c r="C7" t="s">
        <v>309</v>
      </c>
      <c r="H7" s="72">
        <v>8000</v>
      </c>
      <c r="J7" t="s">
        <v>310</v>
      </c>
      <c r="O7" s="72">
        <v>7000</v>
      </c>
    </row>
    <row r="9" spans="3:15">
      <c r="C9" t="s">
        <v>311</v>
      </c>
      <c r="H9" s="72">
        <v>17000</v>
      </c>
      <c r="J9" t="s">
        <v>311</v>
      </c>
      <c r="O9" s="72">
        <v>15000</v>
      </c>
    </row>
    <row r="10" spans="3:15">
      <c r="H10" s="72"/>
      <c r="O10" s="72"/>
    </row>
    <row r="11" spans="3:15">
      <c r="C11" t="s">
        <v>279</v>
      </c>
      <c r="H11" s="72">
        <v>3500</v>
      </c>
      <c r="J11" t="s">
        <v>279</v>
      </c>
      <c r="O11" s="72">
        <v>2000</v>
      </c>
    </row>
    <row r="12" spans="3:15">
      <c r="H12" s="72"/>
      <c r="O12" s="72"/>
    </row>
    <row r="13" spans="3:15">
      <c r="C13" t="s">
        <v>280</v>
      </c>
      <c r="H13" s="72">
        <v>2000</v>
      </c>
      <c r="J13" t="s">
        <v>280</v>
      </c>
      <c r="O13" s="72">
        <v>1500</v>
      </c>
    </row>
    <row r="15" spans="3:15">
      <c r="C15" t="s">
        <v>294</v>
      </c>
      <c r="H15" s="72">
        <v>7000</v>
      </c>
      <c r="J15" t="s">
        <v>312</v>
      </c>
      <c r="O15" s="72">
        <v>5000</v>
      </c>
    </row>
    <row r="17" spans="3:15">
      <c r="C17" t="s">
        <v>295</v>
      </c>
      <c r="H17" s="72">
        <v>5000</v>
      </c>
      <c r="J17" t="s">
        <v>295</v>
      </c>
      <c r="O17" s="72">
        <v>3500</v>
      </c>
    </row>
    <row r="19" spans="3:15">
      <c r="C19" t="s">
        <v>296</v>
      </c>
      <c r="H19" s="72">
        <v>5000</v>
      </c>
      <c r="J19" t="s">
        <v>296</v>
      </c>
      <c r="O19" s="72">
        <v>3500</v>
      </c>
    </row>
    <row r="21" spans="3:15">
      <c r="H21" s="72">
        <f>SUM(H3:H20)</f>
        <v>51200</v>
      </c>
      <c r="O21" s="72">
        <f>SUM(O3:O20)</f>
        <v>39900</v>
      </c>
    </row>
    <row r="22" spans="3:15">
      <c r="E22" s="74" t="s">
        <v>313</v>
      </c>
    </row>
    <row r="24" spans="3:15">
      <c r="C24" t="s">
        <v>309</v>
      </c>
      <c r="H24" s="72">
        <v>8000</v>
      </c>
    </row>
    <row r="26" spans="3:15">
      <c r="C26" t="s">
        <v>311</v>
      </c>
      <c r="H26" s="72">
        <v>17000</v>
      </c>
    </row>
    <row r="28" spans="3:15">
      <c r="H28" s="72">
        <f>H21-H24-H26</f>
        <v>26200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7" workbookViewId="0"/>
    <sheetView workbookViewId="1"/>
  </sheetViews>
  <sheetFormatPr defaultColWidth="11.44140625" defaultRowHeight="14.4"/>
  <cols>
    <col min="1" max="1" width="30.44140625" customWidth="1"/>
    <col min="2" max="2" width="17.109375" customWidth="1"/>
    <col min="3" max="3" width="11.109375" style="14" customWidth="1"/>
    <col min="4" max="5" width="15" style="9" customWidth="1"/>
    <col min="6" max="6" width="12.33203125" customWidth="1"/>
    <col min="7" max="7" width="8.6640625" style="9" customWidth="1"/>
    <col min="8" max="8" width="12.88671875" style="14" customWidth="1"/>
    <col min="9" max="9" width="12" style="14" bestFit="1" customWidth="1"/>
    <col min="10" max="10" width="10.88671875" style="9" customWidth="1"/>
  </cols>
  <sheetData>
    <row r="1" spans="1:10" ht="16.2" thickBot="1">
      <c r="A1" s="4" t="s">
        <v>130</v>
      </c>
      <c r="B1" s="5"/>
      <c r="C1" s="6"/>
      <c r="D1" s="7"/>
      <c r="E1" s="7"/>
      <c r="F1" s="8"/>
      <c r="G1" s="7"/>
      <c r="H1" s="6"/>
      <c r="I1" s="6"/>
    </row>
    <row r="2" spans="1:10" ht="15" thickBot="1">
      <c r="C2" s="10" t="s">
        <v>131</v>
      </c>
      <c r="D2" s="11" t="s">
        <v>132</v>
      </c>
      <c r="E2" s="11" t="s">
        <v>133</v>
      </c>
      <c r="F2" s="11" t="s">
        <v>134</v>
      </c>
      <c r="G2" s="11" t="s">
        <v>135</v>
      </c>
      <c r="H2" s="12" t="s">
        <v>136</v>
      </c>
      <c r="I2" s="13" t="s">
        <v>137</v>
      </c>
    </row>
    <row r="4" spans="1:10" ht="8.1" customHeight="1"/>
    <row r="5" spans="1:10" s="15" customFormat="1">
      <c r="C5" s="16"/>
      <c r="D5" s="17"/>
      <c r="E5" s="17"/>
      <c r="G5" s="17"/>
      <c r="H5" s="16"/>
      <c r="I5" s="16"/>
      <c r="J5" s="17"/>
    </row>
    <row r="6" spans="1:10">
      <c r="A6" s="18" t="s">
        <v>175</v>
      </c>
      <c r="B6" s="19"/>
      <c r="C6" s="20">
        <v>50</v>
      </c>
      <c r="D6" s="21" t="s">
        <v>138</v>
      </c>
      <c r="E6" s="21">
        <v>37</v>
      </c>
      <c r="F6" s="19" t="s">
        <v>139</v>
      </c>
      <c r="G6" s="22">
        <v>14</v>
      </c>
      <c r="H6" s="20">
        <f>G6*C6</f>
        <v>700</v>
      </c>
      <c r="I6" s="23">
        <f>H6*E6</f>
        <v>25900</v>
      </c>
    </row>
    <row r="7" spans="1:10">
      <c r="A7" s="18"/>
      <c r="B7" s="19"/>
      <c r="C7" s="20">
        <v>55</v>
      </c>
      <c r="D7" s="21"/>
      <c r="E7" s="21">
        <f>6</f>
        <v>6</v>
      </c>
      <c r="F7" s="19"/>
      <c r="G7" s="22">
        <v>11</v>
      </c>
      <c r="H7" s="20">
        <f>G7*C7</f>
        <v>605</v>
      </c>
      <c r="I7" s="23">
        <f>H7*E7</f>
        <v>3630</v>
      </c>
      <c r="J7" s="49">
        <v>2590</v>
      </c>
    </row>
    <row r="8" spans="1:10">
      <c r="A8" s="18"/>
      <c r="B8" s="19"/>
      <c r="C8" s="20">
        <v>55</v>
      </c>
      <c r="D8" s="21"/>
      <c r="E8" s="21">
        <f>E6-E7</f>
        <v>31</v>
      </c>
      <c r="F8" s="19"/>
      <c r="G8" s="22">
        <v>11</v>
      </c>
      <c r="H8" s="20">
        <f>G8*C8</f>
        <v>605</v>
      </c>
      <c r="I8" s="23">
        <f>H8*E8</f>
        <v>18755</v>
      </c>
      <c r="J8" s="49"/>
    </row>
    <row r="9" spans="1:10">
      <c r="A9" s="18"/>
      <c r="B9" s="19"/>
      <c r="C9" s="20"/>
      <c r="D9" s="21"/>
      <c r="E9" s="21">
        <v>0</v>
      </c>
      <c r="F9" s="19"/>
      <c r="G9" s="22"/>
      <c r="H9" s="20">
        <f>G9*C9</f>
        <v>0</v>
      </c>
      <c r="I9" s="23">
        <f>SUM(I7:I8)</f>
        <v>22385</v>
      </c>
      <c r="J9" s="49"/>
    </row>
    <row r="10" spans="1:10">
      <c r="A10" s="18"/>
      <c r="B10" s="19"/>
      <c r="C10" s="20"/>
      <c r="D10" s="21"/>
      <c r="E10" s="21"/>
      <c r="F10" s="19"/>
      <c r="G10" s="22"/>
      <c r="H10" s="20"/>
      <c r="I10" s="23"/>
      <c r="J10" s="49"/>
    </row>
    <row r="11" spans="1:10">
      <c r="A11" s="18"/>
      <c r="B11" s="19"/>
      <c r="C11" s="20"/>
      <c r="D11" s="21"/>
      <c r="E11" s="21"/>
      <c r="F11" s="19"/>
      <c r="G11" s="22"/>
      <c r="H11" s="20"/>
      <c r="I11" s="23"/>
      <c r="J11" s="49"/>
    </row>
    <row r="12" spans="1:10" s="15" customFormat="1">
      <c r="A12" s="8"/>
      <c r="C12" s="16"/>
      <c r="D12" s="17"/>
      <c r="E12" s="17"/>
      <c r="G12" s="17"/>
      <c r="H12" s="16"/>
      <c r="I12" s="16"/>
      <c r="J12" s="17"/>
    </row>
    <row r="13" spans="1:10">
      <c r="A13" s="24" t="s">
        <v>181</v>
      </c>
    </row>
    <row r="14" spans="1:10">
      <c r="A14" s="25" t="s">
        <v>140</v>
      </c>
      <c r="C14" s="14">
        <v>60</v>
      </c>
      <c r="D14" s="9" t="s">
        <v>141</v>
      </c>
      <c r="E14" s="9">
        <v>37</v>
      </c>
      <c r="F14" t="s">
        <v>142</v>
      </c>
      <c r="G14" s="9">
        <v>3</v>
      </c>
      <c r="H14" s="14">
        <f>60*G14</f>
        <v>180</v>
      </c>
      <c r="I14" s="14">
        <f>H14*E14</f>
        <v>6660</v>
      </c>
      <c r="J14" s="26"/>
    </row>
    <row r="15" spans="1:10">
      <c r="A15" s="27" t="s">
        <v>143</v>
      </c>
      <c r="C15" s="14">
        <v>60</v>
      </c>
      <c r="D15" s="9" t="s">
        <v>141</v>
      </c>
      <c r="E15" s="9">
        <v>19</v>
      </c>
      <c r="F15" t="s">
        <v>142</v>
      </c>
      <c r="G15" s="9">
        <v>3</v>
      </c>
      <c r="H15" s="14">
        <f>60*G15</f>
        <v>180</v>
      </c>
      <c r="I15" s="14">
        <f>H15*E15</f>
        <v>3420</v>
      </c>
      <c r="J15" s="26"/>
    </row>
    <row r="16" spans="1:10">
      <c r="A16" s="27" t="s">
        <v>144</v>
      </c>
      <c r="C16" s="14">
        <v>60</v>
      </c>
      <c r="D16" s="9" t="s">
        <v>141</v>
      </c>
      <c r="E16" s="9">
        <v>19</v>
      </c>
      <c r="F16" t="s">
        <v>142</v>
      </c>
      <c r="G16" s="9">
        <v>2</v>
      </c>
      <c r="H16" s="14">
        <f>60*G16</f>
        <v>120</v>
      </c>
      <c r="I16" s="14">
        <f>H16*E16</f>
        <v>2280</v>
      </c>
    </row>
    <row r="17" spans="1:10">
      <c r="A17" s="27" t="s">
        <v>145</v>
      </c>
      <c r="C17" s="14">
        <v>60</v>
      </c>
      <c r="D17" s="9" t="s">
        <v>141</v>
      </c>
      <c r="E17" s="9">
        <v>37</v>
      </c>
      <c r="F17" t="s">
        <v>142</v>
      </c>
      <c r="G17" s="9">
        <v>2</v>
      </c>
      <c r="H17" s="14">
        <f>60*G17</f>
        <v>120</v>
      </c>
      <c r="I17" s="28">
        <f>H17*E17</f>
        <v>4440</v>
      </c>
    </row>
    <row r="18" spans="1:10">
      <c r="A18" s="27" t="s">
        <v>146</v>
      </c>
      <c r="C18" s="14">
        <v>60</v>
      </c>
      <c r="D18" s="9" t="s">
        <v>141</v>
      </c>
      <c r="E18" s="9">
        <v>37</v>
      </c>
      <c r="F18" t="s">
        <v>147</v>
      </c>
      <c r="G18" s="9">
        <v>1</v>
      </c>
      <c r="H18" s="14">
        <f>60*G18</f>
        <v>60</v>
      </c>
      <c r="I18" s="29">
        <f>H18*E18</f>
        <v>2220</v>
      </c>
    </row>
    <row r="19" spans="1:10">
      <c r="A19" s="30" t="s">
        <v>224</v>
      </c>
      <c r="I19" s="31">
        <f>SUM(I13:I18)</f>
        <v>19020</v>
      </c>
    </row>
    <row r="20" spans="1:10" s="15" customFormat="1">
      <c r="A20" s="8"/>
      <c r="C20" s="16"/>
      <c r="D20" s="17"/>
      <c r="E20" s="17"/>
      <c r="G20" s="17"/>
      <c r="H20" s="16"/>
      <c r="I20" s="6"/>
      <c r="J20" s="17"/>
    </row>
    <row r="21" spans="1:10">
      <c r="A21" s="24" t="s">
        <v>182</v>
      </c>
      <c r="C21" s="14">
        <v>500</v>
      </c>
      <c r="D21" s="9" t="s">
        <v>225</v>
      </c>
      <c r="E21" s="21" t="s">
        <v>226</v>
      </c>
      <c r="F21" s="19"/>
      <c r="G21" s="21" t="s">
        <v>178</v>
      </c>
      <c r="H21" s="20"/>
      <c r="I21" s="23">
        <v>4000</v>
      </c>
    </row>
    <row r="22" spans="1:10" s="15" customFormat="1">
      <c r="A22" s="8"/>
      <c r="C22" s="16"/>
      <c r="D22" s="17"/>
      <c r="E22" s="17"/>
      <c r="G22" s="17"/>
      <c r="H22" s="16"/>
      <c r="I22" s="32"/>
      <c r="J22" s="17"/>
    </row>
    <row r="23" spans="1:10">
      <c r="A23" s="24" t="s">
        <v>227</v>
      </c>
      <c r="C23" s="14">
        <v>3000</v>
      </c>
      <c r="D23" s="9" t="s">
        <v>228</v>
      </c>
      <c r="E23" s="9">
        <v>1</v>
      </c>
      <c r="I23" s="33">
        <f>E23*C1+C23+C12</f>
        <v>3000</v>
      </c>
    </row>
    <row r="24" spans="1:10" s="15" customFormat="1">
      <c r="A24" s="8"/>
      <c r="C24" s="16"/>
      <c r="D24" s="17"/>
      <c r="E24" s="17"/>
      <c r="G24" s="17"/>
      <c r="H24" s="16"/>
      <c r="I24" s="32"/>
      <c r="J24" s="17"/>
    </row>
    <row r="25" spans="1:10" s="19" customFormat="1">
      <c r="A25" s="18" t="s">
        <v>183</v>
      </c>
      <c r="C25" s="20"/>
      <c r="D25" s="21"/>
      <c r="E25" s="21"/>
      <c r="G25" s="21"/>
      <c r="H25" s="20"/>
      <c r="I25" s="23">
        <v>1600</v>
      </c>
      <c r="J25" s="21"/>
    </row>
    <row r="26" spans="1:10" s="15" customFormat="1">
      <c r="A26" s="8"/>
      <c r="C26" s="16"/>
      <c r="D26" s="17"/>
      <c r="E26" s="17"/>
      <c r="G26" s="17"/>
      <c r="H26" s="16"/>
      <c r="I26" s="32"/>
      <c r="J26" s="17"/>
    </row>
    <row r="27" spans="1:10" s="19" customFormat="1">
      <c r="A27" s="18" t="s">
        <v>229</v>
      </c>
      <c r="C27" s="20"/>
      <c r="D27" s="21"/>
      <c r="E27" s="21"/>
      <c r="G27" s="21"/>
      <c r="H27" s="20"/>
      <c r="I27" s="23">
        <v>3500</v>
      </c>
      <c r="J27" s="21"/>
    </row>
    <row r="28" spans="1:10" s="15" customFormat="1">
      <c r="A28" s="8"/>
      <c r="C28" s="16"/>
      <c r="D28" s="17"/>
      <c r="E28" s="17"/>
      <c r="G28" s="17"/>
      <c r="H28" s="16"/>
      <c r="I28" s="32"/>
      <c r="J28" s="17"/>
    </row>
    <row r="29" spans="1:10">
      <c r="A29" s="24" t="s">
        <v>230</v>
      </c>
      <c r="I29" s="33">
        <v>15000</v>
      </c>
    </row>
    <row r="30" spans="1:10" s="15" customFormat="1">
      <c r="A30" s="8"/>
      <c r="C30" s="16"/>
      <c r="D30" s="17"/>
      <c r="E30" s="17"/>
      <c r="G30" s="17"/>
      <c r="H30" s="16"/>
      <c r="I30" s="32"/>
      <c r="J30" s="17"/>
    </row>
    <row r="31" spans="1:10">
      <c r="A31" s="24" t="s">
        <v>231</v>
      </c>
      <c r="C31" s="14">
        <v>60</v>
      </c>
      <c r="D31" s="9" t="s">
        <v>232</v>
      </c>
      <c r="E31" s="21">
        <v>33</v>
      </c>
      <c r="F31" t="s">
        <v>233</v>
      </c>
      <c r="G31" s="9">
        <v>4</v>
      </c>
      <c r="H31" s="14">
        <f>G31*C31</f>
        <v>240</v>
      </c>
      <c r="I31" s="33">
        <f>H31*E31</f>
        <v>7920</v>
      </c>
    </row>
    <row r="32" spans="1:10">
      <c r="A32" s="34" t="s">
        <v>234</v>
      </c>
      <c r="C32" s="14">
        <v>60</v>
      </c>
      <c r="D32" s="9" t="s">
        <v>232</v>
      </c>
      <c r="E32" s="9" t="s">
        <v>235</v>
      </c>
      <c r="F32" t="s">
        <v>233</v>
      </c>
      <c r="G32" s="9">
        <v>6</v>
      </c>
      <c r="H32" s="14">
        <f>G32*C32</f>
        <v>360</v>
      </c>
      <c r="I32" s="33">
        <f>H32*4</f>
        <v>1440</v>
      </c>
    </row>
    <row r="33" spans="1:10">
      <c r="A33" s="34" t="s">
        <v>236</v>
      </c>
      <c r="H33" s="14">
        <f>G33*C33</f>
        <v>0</v>
      </c>
      <c r="I33" s="35">
        <f>H33*E33</f>
        <v>0</v>
      </c>
    </row>
    <row r="34" spans="1:10">
      <c r="A34" s="18" t="s">
        <v>237</v>
      </c>
      <c r="I34" s="36">
        <f>SUM(I31:I33)</f>
        <v>9360</v>
      </c>
    </row>
    <row r="35" spans="1:10" s="15" customFormat="1">
      <c r="A35" s="8"/>
      <c r="C35" s="16"/>
      <c r="D35" s="17"/>
      <c r="E35" s="17"/>
      <c r="G35" s="17"/>
      <c r="H35" s="16"/>
      <c r="I35" s="32"/>
      <c r="J35" s="17"/>
    </row>
    <row r="36" spans="1:10">
      <c r="A36" s="24" t="s">
        <v>238</v>
      </c>
      <c r="C36" s="14">
        <v>33</v>
      </c>
      <c r="D36" s="9" t="s">
        <v>138</v>
      </c>
      <c r="E36" s="9">
        <v>37</v>
      </c>
      <c r="G36" s="9">
        <v>3</v>
      </c>
      <c r="H36" s="14">
        <f>G36*C36</f>
        <v>99</v>
      </c>
      <c r="I36" s="33">
        <f>H36*37</f>
        <v>3663</v>
      </c>
    </row>
    <row r="37" spans="1:10">
      <c r="A37" s="24"/>
      <c r="I37" s="35">
        <f>I36*0.1065</f>
        <v>390.10949999999997</v>
      </c>
      <c r="J37" s="9" t="s">
        <v>239</v>
      </c>
    </row>
    <row r="38" spans="1:10">
      <c r="A38" s="24"/>
      <c r="I38" s="33">
        <f>SUM(I36:I37)</f>
        <v>4053.1095</v>
      </c>
      <c r="J38" s="9" t="s">
        <v>240</v>
      </c>
    </row>
    <row r="39" spans="1:10" s="15" customFormat="1">
      <c r="A39" s="8"/>
      <c r="C39" s="16"/>
      <c r="D39" s="17"/>
      <c r="E39" s="17"/>
      <c r="G39" s="17"/>
      <c r="H39" s="16"/>
      <c r="I39" s="16"/>
      <c r="J39" s="17"/>
    </row>
    <row r="40" spans="1:10">
      <c r="A40" s="24" t="s">
        <v>241</v>
      </c>
      <c r="C40" s="14">
        <v>42</v>
      </c>
      <c r="D40" s="9" t="s">
        <v>138</v>
      </c>
      <c r="E40" s="9">
        <v>37</v>
      </c>
      <c r="G40" s="9">
        <v>3</v>
      </c>
      <c r="H40" s="14">
        <f>G40*C40</f>
        <v>126</v>
      </c>
      <c r="I40" s="33">
        <f>H40*37</f>
        <v>4662</v>
      </c>
    </row>
    <row r="41" spans="1:10">
      <c r="A41" s="24"/>
      <c r="I41" s="35">
        <f>I40*0.1065</f>
        <v>496.50299999999999</v>
      </c>
    </row>
    <row r="42" spans="1:10">
      <c r="A42" s="24"/>
      <c r="I42" s="33">
        <f>SUM(I40:I41)</f>
        <v>5158.5029999999997</v>
      </c>
      <c r="J42" s="9" t="s">
        <v>240</v>
      </c>
    </row>
    <row r="43" spans="1:10" s="15" customFormat="1">
      <c r="A43" s="8"/>
      <c r="C43" s="16"/>
      <c r="D43" s="17"/>
      <c r="E43" s="17"/>
      <c r="G43" s="17"/>
      <c r="H43" s="16"/>
      <c r="I43" s="16"/>
      <c r="J43" s="17"/>
    </row>
    <row r="44" spans="1:10">
      <c r="A44" s="24" t="s">
        <v>242</v>
      </c>
    </row>
    <row r="45" spans="1:10">
      <c r="A45" s="27" t="s">
        <v>243</v>
      </c>
      <c r="C45" s="37">
        <v>40</v>
      </c>
      <c r="D45" s="9" t="s">
        <v>138</v>
      </c>
      <c r="E45" s="9">
        <v>35</v>
      </c>
      <c r="G45" s="38">
        <v>17</v>
      </c>
      <c r="H45" s="14">
        <f>G45*C45</f>
        <v>680</v>
      </c>
      <c r="I45" s="33">
        <f>H45*35</f>
        <v>23800</v>
      </c>
    </row>
    <row r="46" spans="1:10">
      <c r="A46" s="39"/>
      <c r="I46" s="36"/>
    </row>
    <row r="47" spans="1:10" s="15" customFormat="1">
      <c r="A47" s="40"/>
      <c r="C47" s="16"/>
      <c r="D47" s="17"/>
      <c r="E47" s="17"/>
      <c r="G47" s="17"/>
      <c r="H47" s="16"/>
      <c r="I47" s="16"/>
      <c r="J47" s="17"/>
    </row>
    <row r="48" spans="1:10" ht="9" customHeight="1" thickBot="1">
      <c r="A48" s="27"/>
    </row>
    <row r="49" spans="1:10" ht="15" thickBot="1">
      <c r="A49" s="41" t="s">
        <v>244</v>
      </c>
      <c r="B49" s="42"/>
      <c r="C49" s="43"/>
      <c r="D49" s="44"/>
      <c r="E49" s="44"/>
      <c r="F49" s="42"/>
      <c r="G49" s="44"/>
      <c r="H49" s="43"/>
      <c r="I49" s="45">
        <f>I46+I36+I31+I29+I23+I21+I19+I6</f>
        <v>78503</v>
      </c>
    </row>
    <row r="50" spans="1:10" ht="18" customHeight="1">
      <c r="A50" s="24"/>
    </row>
    <row r="51" spans="1:10">
      <c r="A51" s="46" t="s">
        <v>158</v>
      </c>
      <c r="H51" s="14" t="s">
        <v>159</v>
      </c>
      <c r="I51" s="47">
        <v>16000</v>
      </c>
    </row>
    <row r="52" spans="1:10">
      <c r="A52" s="46" t="s">
        <v>160</v>
      </c>
      <c r="H52" s="14" t="s">
        <v>159</v>
      </c>
      <c r="I52" s="47">
        <v>8000</v>
      </c>
    </row>
    <row r="53" spans="1:10">
      <c r="A53" s="48" t="s">
        <v>161</v>
      </c>
      <c r="C53" s="14">
        <v>46000</v>
      </c>
      <c r="D53" s="9" t="s">
        <v>162</v>
      </c>
      <c r="H53" s="14" t="s">
        <v>163</v>
      </c>
      <c r="I53" s="47">
        <v>46000</v>
      </c>
    </row>
    <row r="54" spans="1:10">
      <c r="C54"/>
      <c r="D54"/>
      <c r="E54"/>
      <c r="J54"/>
    </row>
    <row r="55" spans="1:10">
      <c r="C55"/>
      <c r="D55"/>
      <c r="E55"/>
      <c r="J55"/>
    </row>
    <row r="56" spans="1:10">
      <c r="C56"/>
      <c r="D56"/>
      <c r="E56"/>
      <c r="J56"/>
    </row>
    <row r="57" spans="1:10">
      <c r="C57"/>
      <c r="D57"/>
      <c r="E57"/>
      <c r="J57"/>
    </row>
    <row r="58" spans="1:10">
      <c r="C58"/>
      <c r="D58"/>
      <c r="E58"/>
      <c r="J58"/>
    </row>
    <row r="59" spans="1:10">
      <c r="C59"/>
      <c r="D59"/>
      <c r="E59"/>
      <c r="J59"/>
    </row>
    <row r="60" spans="1:10">
      <c r="C60"/>
      <c r="D60"/>
      <c r="E60"/>
      <c r="J60"/>
    </row>
    <row r="61" spans="1:10">
      <c r="C61"/>
      <c r="D61"/>
      <c r="E61"/>
      <c r="J61"/>
    </row>
    <row r="62" spans="1:10">
      <c r="C62"/>
      <c r="D62"/>
      <c r="E62"/>
      <c r="J62"/>
    </row>
    <row r="63" spans="1:10">
      <c r="C63"/>
      <c r="D63"/>
      <c r="E63"/>
      <c r="J6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 workbookViewId="1"/>
  </sheetViews>
  <sheetFormatPr defaultColWidth="8.88671875" defaultRowHeight="14.4"/>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workbookViewId="0">
      <selection sqref="A1:E1"/>
    </sheetView>
    <sheetView workbookViewId="1">
      <selection sqref="A1:E1"/>
    </sheetView>
  </sheetViews>
  <sheetFormatPr defaultColWidth="9.109375" defaultRowHeight="14.4"/>
  <cols>
    <col min="1" max="1" width="59" customWidth="1"/>
    <col min="2" max="5" width="22" customWidth="1"/>
  </cols>
  <sheetData>
    <row r="1" spans="1:5" ht="17.399999999999999">
      <c r="A1" s="786" t="s">
        <v>328</v>
      </c>
      <c r="B1" s="786"/>
      <c r="C1" s="786"/>
      <c r="D1" s="786"/>
      <c r="E1" s="786"/>
    </row>
    <row r="2" spans="1:5" ht="17.399999999999999">
      <c r="A2" s="786" t="s">
        <v>329</v>
      </c>
      <c r="B2" s="786"/>
      <c r="C2" s="786"/>
      <c r="D2" s="786"/>
      <c r="E2" s="786"/>
    </row>
    <row r="3" spans="1:5">
      <c r="A3" s="787" t="s">
        <v>330</v>
      </c>
      <c r="B3" s="787"/>
      <c r="C3" s="787"/>
      <c r="D3" s="787"/>
      <c r="E3" s="787"/>
    </row>
    <row r="5" spans="1:5">
      <c r="A5" s="129"/>
      <c r="B5" s="788" t="s">
        <v>223</v>
      </c>
      <c r="C5" s="788"/>
      <c r="D5" s="788"/>
      <c r="E5" s="788"/>
    </row>
    <row r="6" spans="1:5">
      <c r="A6" s="130"/>
      <c r="B6" s="131" t="s">
        <v>200</v>
      </c>
      <c r="C6" s="131" t="s">
        <v>199</v>
      </c>
      <c r="D6" s="131" t="s">
        <v>331</v>
      </c>
      <c r="E6" s="131" t="s">
        <v>332</v>
      </c>
    </row>
    <row r="7" spans="1:5">
      <c r="A7" s="132" t="s">
        <v>333</v>
      </c>
      <c r="B7" s="133"/>
      <c r="C7" s="133"/>
      <c r="D7" s="133"/>
      <c r="E7" s="133"/>
    </row>
    <row r="8" spans="1:5">
      <c r="A8" s="134" t="s">
        <v>334</v>
      </c>
      <c r="B8" s="135">
        <f>109241.77</f>
        <v>109241.77</v>
      </c>
      <c r="C8" s="135"/>
      <c r="D8" s="135">
        <f t="shared" ref="D8:D33" si="0">(B8)-C8</f>
        <v>109241.77</v>
      </c>
      <c r="E8" s="136" t="str">
        <f t="shared" ref="E8:E33" si="1">IF(C8=0,"",(B8)/C8)</f>
        <v/>
      </c>
    </row>
    <row r="9" spans="1:5">
      <c r="A9" s="137" t="s">
        <v>335</v>
      </c>
      <c r="B9" s="135">
        <f>432.81</f>
        <v>432.81</v>
      </c>
      <c r="C9" s="135"/>
      <c r="D9" s="135">
        <f t="shared" si="0"/>
        <v>432.81</v>
      </c>
      <c r="E9" s="136" t="str">
        <f t="shared" si="1"/>
        <v/>
      </c>
    </row>
    <row r="10" spans="1:5">
      <c r="A10" s="137" t="s">
        <v>336</v>
      </c>
      <c r="B10" s="138">
        <f>(B8)+B9</f>
        <v>109674.58</v>
      </c>
      <c r="C10" s="138">
        <f>(C8)+C9</f>
        <v>0</v>
      </c>
      <c r="D10" s="138">
        <f t="shared" si="0"/>
        <v>109674.58</v>
      </c>
      <c r="E10" s="139" t="str">
        <f t="shared" si="1"/>
        <v/>
      </c>
    </row>
    <row r="11" spans="1:5">
      <c r="A11" s="137" t="s">
        <v>337</v>
      </c>
      <c r="B11" s="135">
        <f>120095</f>
        <v>120095</v>
      </c>
      <c r="C11" s="135"/>
      <c r="D11" s="135">
        <f t="shared" si="0"/>
        <v>120095</v>
      </c>
      <c r="E11" s="136" t="str">
        <f t="shared" si="1"/>
        <v/>
      </c>
    </row>
    <row r="12" spans="1:5">
      <c r="A12" s="137" t="s">
        <v>338</v>
      </c>
      <c r="B12" s="135">
        <f>22200</f>
        <v>22200</v>
      </c>
      <c r="C12" s="135"/>
      <c r="D12" s="135">
        <f t="shared" si="0"/>
        <v>22200</v>
      </c>
      <c r="E12" s="136" t="str">
        <f t="shared" si="1"/>
        <v/>
      </c>
    </row>
    <row r="13" spans="1:5">
      <c r="A13" s="137" t="s">
        <v>339</v>
      </c>
      <c r="B13" s="135">
        <f>2450</f>
        <v>2450</v>
      </c>
      <c r="C13" s="135"/>
      <c r="D13" s="135">
        <f t="shared" si="0"/>
        <v>2450</v>
      </c>
      <c r="E13" s="136" t="str">
        <f t="shared" si="1"/>
        <v/>
      </c>
    </row>
    <row r="14" spans="1:5">
      <c r="A14" s="137" t="s">
        <v>340</v>
      </c>
      <c r="B14" s="135">
        <f>7777</f>
        <v>7777</v>
      </c>
      <c r="C14" s="135"/>
      <c r="D14" s="135">
        <f t="shared" si="0"/>
        <v>7777</v>
      </c>
      <c r="E14" s="136" t="str">
        <f t="shared" si="1"/>
        <v/>
      </c>
    </row>
    <row r="15" spans="1:5">
      <c r="A15" s="137" t="s">
        <v>341</v>
      </c>
      <c r="B15" s="138">
        <f>(((B11)+B12)+B13)+B14</f>
        <v>152522</v>
      </c>
      <c r="C15" s="138">
        <f>(((C11)+C12)+C13)+C14</f>
        <v>0</v>
      </c>
      <c r="D15" s="138">
        <f t="shared" si="0"/>
        <v>152522</v>
      </c>
      <c r="E15" s="139" t="str">
        <f t="shared" si="1"/>
        <v/>
      </c>
    </row>
    <row r="16" spans="1:5">
      <c r="A16" s="137" t="s">
        <v>342</v>
      </c>
      <c r="B16" s="133"/>
      <c r="C16" s="133"/>
      <c r="D16" s="135">
        <f t="shared" si="0"/>
        <v>0</v>
      </c>
      <c r="E16" s="136" t="str">
        <f t="shared" si="1"/>
        <v/>
      </c>
    </row>
    <row r="17" spans="1:5">
      <c r="A17" s="137" t="s">
        <v>343</v>
      </c>
      <c r="B17" s="135">
        <f>11520</f>
        <v>11520</v>
      </c>
      <c r="C17" s="135"/>
      <c r="D17" s="135">
        <f t="shared" si="0"/>
        <v>11520</v>
      </c>
      <c r="E17" s="136" t="str">
        <f t="shared" si="1"/>
        <v/>
      </c>
    </row>
    <row r="18" spans="1:5">
      <c r="A18" s="137" t="s">
        <v>344</v>
      </c>
      <c r="B18" s="135">
        <f>40</f>
        <v>40</v>
      </c>
      <c r="C18" s="135"/>
      <c r="D18" s="135">
        <f t="shared" si="0"/>
        <v>40</v>
      </c>
      <c r="E18" s="136" t="str">
        <f t="shared" si="1"/>
        <v/>
      </c>
    </row>
    <row r="19" spans="1:5">
      <c r="A19" s="137" t="s">
        <v>345</v>
      </c>
      <c r="B19" s="138">
        <f>((B16)+B17)+B18</f>
        <v>11560</v>
      </c>
      <c r="C19" s="138">
        <f>((C16)+C17)+C18</f>
        <v>0</v>
      </c>
      <c r="D19" s="138">
        <f t="shared" si="0"/>
        <v>11560</v>
      </c>
      <c r="E19" s="139" t="str">
        <f t="shared" si="1"/>
        <v/>
      </c>
    </row>
    <row r="20" spans="1:5">
      <c r="A20" s="137" t="s">
        <v>346</v>
      </c>
      <c r="B20" s="133"/>
      <c r="C20" s="133"/>
      <c r="D20" s="135">
        <f t="shared" si="0"/>
        <v>0</v>
      </c>
      <c r="E20" s="136" t="str">
        <f t="shared" si="1"/>
        <v/>
      </c>
    </row>
    <row r="21" spans="1:5">
      <c r="A21" s="137" t="s">
        <v>347</v>
      </c>
      <c r="B21" s="135">
        <f>1000</f>
        <v>1000</v>
      </c>
      <c r="C21" s="135"/>
      <c r="D21" s="135">
        <f t="shared" si="0"/>
        <v>1000</v>
      </c>
      <c r="E21" s="136" t="str">
        <f t="shared" si="1"/>
        <v/>
      </c>
    </row>
    <row r="22" spans="1:5">
      <c r="A22" s="137" t="s">
        <v>348</v>
      </c>
      <c r="B22" s="135">
        <f>131872</f>
        <v>131872</v>
      </c>
      <c r="C22" s="135"/>
      <c r="D22" s="135">
        <f t="shared" si="0"/>
        <v>131872</v>
      </c>
      <c r="E22" s="136" t="str">
        <f t="shared" si="1"/>
        <v/>
      </c>
    </row>
    <row r="23" spans="1:5">
      <c r="A23" s="137" t="s">
        <v>349</v>
      </c>
      <c r="B23" s="135">
        <f>1000</f>
        <v>1000</v>
      </c>
      <c r="C23" s="135"/>
      <c r="D23" s="135">
        <f t="shared" si="0"/>
        <v>1000</v>
      </c>
      <c r="E23" s="136" t="str">
        <f t="shared" si="1"/>
        <v/>
      </c>
    </row>
    <row r="24" spans="1:5">
      <c r="A24" s="137" t="s">
        <v>350</v>
      </c>
      <c r="B24" s="138">
        <f>(((B20)+B21)+B22)+B23</f>
        <v>133872</v>
      </c>
      <c r="C24" s="138">
        <f>(((C20)+C21)+C22)+C23</f>
        <v>0</v>
      </c>
      <c r="D24" s="138">
        <f t="shared" si="0"/>
        <v>133872</v>
      </c>
      <c r="E24" s="139" t="str">
        <f t="shared" si="1"/>
        <v/>
      </c>
    </row>
    <row r="25" spans="1:5">
      <c r="A25" s="137" t="s">
        <v>351</v>
      </c>
      <c r="B25" s="133"/>
      <c r="C25" s="133"/>
      <c r="D25" s="135">
        <f t="shared" si="0"/>
        <v>0</v>
      </c>
      <c r="E25" s="136" t="str">
        <f t="shared" si="1"/>
        <v/>
      </c>
    </row>
    <row r="26" spans="1:5">
      <c r="A26" s="137" t="s">
        <v>352</v>
      </c>
      <c r="B26" s="135">
        <f>5380</f>
        <v>5380</v>
      </c>
      <c r="C26" s="135"/>
      <c r="D26" s="135">
        <f t="shared" si="0"/>
        <v>5380</v>
      </c>
      <c r="E26" s="136" t="str">
        <f t="shared" si="1"/>
        <v/>
      </c>
    </row>
    <row r="27" spans="1:5">
      <c r="A27" s="137" t="s">
        <v>353</v>
      </c>
      <c r="B27" s="135">
        <f>13375</f>
        <v>13375</v>
      </c>
      <c r="C27" s="135"/>
      <c r="D27" s="135">
        <f t="shared" si="0"/>
        <v>13375</v>
      </c>
      <c r="E27" s="136" t="str">
        <f t="shared" si="1"/>
        <v/>
      </c>
    </row>
    <row r="28" spans="1:5">
      <c r="A28" s="137" t="s">
        <v>354</v>
      </c>
      <c r="B28" s="138">
        <f>((B25)+B26)+B27</f>
        <v>18755</v>
      </c>
      <c r="C28" s="138">
        <f>((C25)+C26)+C27</f>
        <v>0</v>
      </c>
      <c r="D28" s="138">
        <f t="shared" si="0"/>
        <v>18755</v>
      </c>
      <c r="E28" s="139" t="str">
        <f t="shared" si="1"/>
        <v/>
      </c>
    </row>
    <row r="29" spans="1:5">
      <c r="A29" s="137" t="s">
        <v>355</v>
      </c>
      <c r="B29" s="135">
        <f>394</f>
        <v>394</v>
      </c>
      <c r="C29" s="135"/>
      <c r="D29" s="135">
        <f t="shared" si="0"/>
        <v>394</v>
      </c>
      <c r="E29" s="136" t="str">
        <f t="shared" si="1"/>
        <v/>
      </c>
    </row>
    <row r="30" spans="1:5">
      <c r="A30" s="137" t="s">
        <v>356</v>
      </c>
      <c r="B30" s="135">
        <f>819.03</f>
        <v>819.03</v>
      </c>
      <c r="C30" s="135"/>
      <c r="D30" s="135">
        <f t="shared" si="0"/>
        <v>819.03</v>
      </c>
      <c r="E30" s="136" t="str">
        <f t="shared" si="1"/>
        <v/>
      </c>
    </row>
    <row r="31" spans="1:5">
      <c r="A31" s="137" t="s">
        <v>357</v>
      </c>
      <c r="B31" s="135">
        <f>3100.59</f>
        <v>3100.59</v>
      </c>
      <c r="C31" s="135"/>
      <c r="D31" s="135">
        <f t="shared" si="0"/>
        <v>3100.59</v>
      </c>
      <c r="E31" s="136" t="str">
        <f t="shared" si="1"/>
        <v/>
      </c>
    </row>
    <row r="32" spans="1:5">
      <c r="A32" s="137" t="s">
        <v>358</v>
      </c>
      <c r="B32" s="138">
        <f>((B29)+B30)+B31</f>
        <v>4313.62</v>
      </c>
      <c r="C32" s="138">
        <f>((C29)+C30)+C31</f>
        <v>0</v>
      </c>
      <c r="D32" s="138">
        <f t="shared" si="0"/>
        <v>4313.62</v>
      </c>
      <c r="E32" s="139" t="str">
        <f t="shared" si="1"/>
        <v/>
      </c>
    </row>
    <row r="33" spans="1:5">
      <c r="A33" s="137" t="s">
        <v>359</v>
      </c>
      <c r="B33" s="138">
        <f>(((((B10)+B15)+B19)+B24)+B28)+B32</f>
        <v>430697.2</v>
      </c>
      <c r="C33" s="138">
        <f>(((((C10)+C15)+C19)+C24)+C28)+C32</f>
        <v>0</v>
      </c>
      <c r="D33" s="138">
        <f t="shared" si="0"/>
        <v>430697.2</v>
      </c>
      <c r="E33" s="139" t="str">
        <f t="shared" si="1"/>
        <v/>
      </c>
    </row>
    <row r="34" spans="1:5">
      <c r="A34" s="137" t="s">
        <v>179</v>
      </c>
      <c r="B34" s="133"/>
      <c r="C34" s="133"/>
      <c r="D34" s="133"/>
      <c r="E34" s="133"/>
    </row>
    <row r="35" spans="1:5">
      <c r="A35" s="134" t="s">
        <v>360</v>
      </c>
      <c r="B35" s="135">
        <f>2759.09</f>
        <v>2759.09</v>
      </c>
      <c r="C35" s="135"/>
      <c r="D35" s="135">
        <f t="shared" ref="D35:D98" si="2">(B35)-C35</f>
        <v>2759.09</v>
      </c>
      <c r="E35" s="136" t="str">
        <f t="shared" ref="E35:E98" si="3">IF(C35=0,"",(B35)/C35)</f>
        <v/>
      </c>
    </row>
    <row r="36" spans="1:5">
      <c r="A36" s="137" t="s">
        <v>361</v>
      </c>
      <c r="B36" s="135">
        <f>1365</f>
        <v>1365</v>
      </c>
      <c r="C36" s="135"/>
      <c r="D36" s="135">
        <f t="shared" si="2"/>
        <v>1365</v>
      </c>
      <c r="E36" s="136" t="str">
        <f t="shared" si="3"/>
        <v/>
      </c>
    </row>
    <row r="37" spans="1:5">
      <c r="A37" s="137" t="s">
        <v>362</v>
      </c>
      <c r="B37" s="135">
        <f>410</f>
        <v>410</v>
      </c>
      <c r="C37" s="135"/>
      <c r="D37" s="135">
        <f t="shared" si="2"/>
        <v>410</v>
      </c>
      <c r="E37" s="136" t="str">
        <f t="shared" si="3"/>
        <v/>
      </c>
    </row>
    <row r="38" spans="1:5">
      <c r="A38" s="137" t="s">
        <v>363</v>
      </c>
      <c r="B38" s="135">
        <f>932.82</f>
        <v>932.82</v>
      </c>
      <c r="C38" s="135"/>
      <c r="D38" s="135">
        <f t="shared" si="2"/>
        <v>932.82</v>
      </c>
      <c r="E38" s="136" t="str">
        <f t="shared" si="3"/>
        <v/>
      </c>
    </row>
    <row r="39" spans="1:5">
      <c r="A39" s="137" t="s">
        <v>364</v>
      </c>
      <c r="B39" s="135">
        <f>21641.5</f>
        <v>21641.5</v>
      </c>
      <c r="C39" s="135"/>
      <c r="D39" s="135">
        <f t="shared" si="2"/>
        <v>21641.5</v>
      </c>
      <c r="E39" s="136" t="str">
        <f t="shared" si="3"/>
        <v/>
      </c>
    </row>
    <row r="40" spans="1:5">
      <c r="A40" s="137" t="s">
        <v>365</v>
      </c>
      <c r="B40" s="135">
        <f>41</f>
        <v>41</v>
      </c>
      <c r="C40" s="135"/>
      <c r="D40" s="135">
        <f t="shared" si="2"/>
        <v>41</v>
      </c>
      <c r="E40" s="136" t="str">
        <f t="shared" si="3"/>
        <v/>
      </c>
    </row>
    <row r="41" spans="1:5">
      <c r="A41" s="137" t="s">
        <v>366</v>
      </c>
      <c r="B41" s="135">
        <f>377.08</f>
        <v>377.08</v>
      </c>
      <c r="C41" s="135"/>
      <c r="D41" s="135">
        <f t="shared" si="2"/>
        <v>377.08</v>
      </c>
      <c r="E41" s="136" t="str">
        <f t="shared" si="3"/>
        <v/>
      </c>
    </row>
    <row r="42" spans="1:5">
      <c r="A42" s="137" t="s">
        <v>367</v>
      </c>
      <c r="B42" s="138">
        <f>((((((B35)+B36)+B37)+B38)+B39)+B40)+B41</f>
        <v>27526.49</v>
      </c>
      <c r="C42" s="138">
        <f>((((((C35)+C36)+C37)+C38)+C39)+C40)+C41</f>
        <v>0</v>
      </c>
      <c r="D42" s="138">
        <f t="shared" si="2"/>
        <v>27526.49</v>
      </c>
      <c r="E42" s="139" t="str">
        <f t="shared" si="3"/>
        <v/>
      </c>
    </row>
    <row r="43" spans="1:5">
      <c r="A43" s="137" t="s">
        <v>285</v>
      </c>
      <c r="B43" s="135">
        <f>3978.9</f>
        <v>3978.9</v>
      </c>
      <c r="C43" s="135"/>
      <c r="D43" s="135">
        <f t="shared" si="2"/>
        <v>3978.9</v>
      </c>
      <c r="E43" s="136" t="str">
        <f t="shared" si="3"/>
        <v/>
      </c>
    </row>
    <row r="44" spans="1:5">
      <c r="A44" s="137" t="s">
        <v>286</v>
      </c>
      <c r="B44" s="135">
        <f>246.67</f>
        <v>246.67</v>
      </c>
      <c r="C44" s="135"/>
      <c r="D44" s="135">
        <f t="shared" si="2"/>
        <v>246.67</v>
      </c>
      <c r="E44" s="136" t="str">
        <f t="shared" si="3"/>
        <v/>
      </c>
    </row>
    <row r="45" spans="1:5">
      <c r="A45" s="137" t="s">
        <v>287</v>
      </c>
      <c r="B45" s="138">
        <f>(B43)+B44</f>
        <v>4225.57</v>
      </c>
      <c r="C45" s="138">
        <f>(C43)+C44</f>
        <v>0</v>
      </c>
      <c r="D45" s="138">
        <f t="shared" si="2"/>
        <v>4225.57</v>
      </c>
      <c r="E45" s="139" t="str">
        <f t="shared" si="3"/>
        <v/>
      </c>
    </row>
    <row r="46" spans="1:5">
      <c r="A46" s="137" t="s">
        <v>288</v>
      </c>
      <c r="B46" s="135">
        <f>330</f>
        <v>330</v>
      </c>
      <c r="C46" s="135"/>
      <c r="D46" s="135">
        <f t="shared" si="2"/>
        <v>330</v>
      </c>
      <c r="E46" s="136" t="str">
        <f t="shared" si="3"/>
        <v/>
      </c>
    </row>
    <row r="47" spans="1:5">
      <c r="A47" s="137" t="s">
        <v>289</v>
      </c>
      <c r="B47" s="135">
        <f>3526.43</f>
        <v>3526.43</v>
      </c>
      <c r="C47" s="135"/>
      <c r="D47" s="135">
        <f t="shared" si="2"/>
        <v>3526.43</v>
      </c>
      <c r="E47" s="136" t="str">
        <f t="shared" si="3"/>
        <v/>
      </c>
    </row>
    <row r="48" spans="1:5">
      <c r="A48" s="137" t="s">
        <v>290</v>
      </c>
      <c r="B48" s="138">
        <f>(B46)+B47</f>
        <v>3856.43</v>
      </c>
      <c r="C48" s="138">
        <f>(C46)+C47</f>
        <v>0</v>
      </c>
      <c r="D48" s="138">
        <f t="shared" si="2"/>
        <v>3856.43</v>
      </c>
      <c r="E48" s="139" t="str">
        <f t="shared" si="3"/>
        <v/>
      </c>
    </row>
    <row r="49" spans="1:5">
      <c r="A49" s="137" t="s">
        <v>291</v>
      </c>
      <c r="B49" s="135">
        <f>758.51</f>
        <v>758.51</v>
      </c>
      <c r="C49" s="135"/>
      <c r="D49" s="135">
        <f t="shared" si="2"/>
        <v>758.51</v>
      </c>
      <c r="E49" s="136" t="str">
        <f t="shared" si="3"/>
        <v/>
      </c>
    </row>
    <row r="50" spans="1:5">
      <c r="A50" s="137" t="s">
        <v>292</v>
      </c>
      <c r="B50" s="133"/>
      <c r="C50" s="133"/>
      <c r="D50" s="135">
        <f t="shared" si="2"/>
        <v>0</v>
      </c>
      <c r="E50" s="136" t="str">
        <f t="shared" si="3"/>
        <v/>
      </c>
    </row>
    <row r="51" spans="1:5">
      <c r="A51" s="137" t="s">
        <v>293</v>
      </c>
      <c r="B51" s="135">
        <f>3617.16</f>
        <v>3617.16</v>
      </c>
      <c r="C51" s="135">
        <f>3617</f>
        <v>3617</v>
      </c>
      <c r="D51" s="135">
        <f t="shared" si="2"/>
        <v>0.15999999999985448</v>
      </c>
      <c r="E51" s="136">
        <f t="shared" si="3"/>
        <v>1.0000442355543266</v>
      </c>
    </row>
    <row r="52" spans="1:5">
      <c r="A52" s="137" t="s">
        <v>378</v>
      </c>
      <c r="B52" s="135">
        <f>1371.03</f>
        <v>1371.03</v>
      </c>
      <c r="C52" s="135">
        <f>0</f>
        <v>0</v>
      </c>
      <c r="D52" s="135">
        <f t="shared" si="2"/>
        <v>1371.03</v>
      </c>
      <c r="E52" s="136" t="str">
        <f t="shared" si="3"/>
        <v/>
      </c>
    </row>
    <row r="53" spans="1:5">
      <c r="A53" s="137" t="s">
        <v>379</v>
      </c>
      <c r="B53" s="135">
        <f>2884.89</f>
        <v>2884.89</v>
      </c>
      <c r="C53" s="135">
        <f>10000</f>
        <v>10000</v>
      </c>
      <c r="D53" s="135">
        <f t="shared" si="2"/>
        <v>-7115.1100000000006</v>
      </c>
      <c r="E53" s="136">
        <f t="shared" si="3"/>
        <v>0.288489</v>
      </c>
    </row>
    <row r="54" spans="1:5">
      <c r="A54" s="137" t="s">
        <v>380</v>
      </c>
      <c r="B54" s="133"/>
      <c r="C54" s="135">
        <f>200</f>
        <v>200</v>
      </c>
      <c r="D54" s="135">
        <f t="shared" si="2"/>
        <v>-200</v>
      </c>
      <c r="E54" s="136">
        <f t="shared" si="3"/>
        <v>0</v>
      </c>
    </row>
    <row r="55" spans="1:5">
      <c r="A55" s="137" t="s">
        <v>381</v>
      </c>
      <c r="B55" s="135">
        <f>500</f>
        <v>500</v>
      </c>
      <c r="C55" s="135">
        <f>5000</f>
        <v>5000</v>
      </c>
      <c r="D55" s="135">
        <f t="shared" si="2"/>
        <v>-4500</v>
      </c>
      <c r="E55" s="136">
        <f t="shared" si="3"/>
        <v>0.1</v>
      </c>
    </row>
    <row r="56" spans="1:5">
      <c r="A56" s="137" t="s">
        <v>382</v>
      </c>
      <c r="B56" s="135">
        <f>17287.53</f>
        <v>17287.53</v>
      </c>
      <c r="C56" s="135">
        <f>17500</f>
        <v>17500</v>
      </c>
      <c r="D56" s="135">
        <f t="shared" si="2"/>
        <v>-212.47000000000116</v>
      </c>
      <c r="E56" s="136">
        <f t="shared" si="3"/>
        <v>0.98785885714285704</v>
      </c>
    </row>
    <row r="57" spans="1:5">
      <c r="A57" s="137" t="s">
        <v>383</v>
      </c>
      <c r="B57" s="138">
        <f>((((((B50)+B51)+B52)+B53)+B54)+B55)+B56</f>
        <v>25660.61</v>
      </c>
      <c r="C57" s="138">
        <f>((((((C50)+C51)+C52)+C53)+C54)+C55)+C56</f>
        <v>36317</v>
      </c>
      <c r="D57" s="138">
        <f t="shared" si="2"/>
        <v>-10656.39</v>
      </c>
      <c r="E57" s="139">
        <f t="shared" si="3"/>
        <v>0.70657295481454963</v>
      </c>
    </row>
    <row r="58" spans="1:5">
      <c r="A58" s="137" t="s">
        <v>384</v>
      </c>
      <c r="B58" s="133"/>
      <c r="C58" s="133"/>
      <c r="D58" s="135">
        <f t="shared" si="2"/>
        <v>0</v>
      </c>
      <c r="E58" s="136" t="str">
        <f t="shared" si="3"/>
        <v/>
      </c>
    </row>
    <row r="59" spans="1:5">
      <c r="A59" s="137" t="s">
        <v>385</v>
      </c>
      <c r="B59" s="135">
        <f>8400</f>
        <v>8400</v>
      </c>
      <c r="C59" s="135">
        <f>26000</f>
        <v>26000</v>
      </c>
      <c r="D59" s="135">
        <f t="shared" si="2"/>
        <v>-17600</v>
      </c>
      <c r="E59" s="136">
        <f t="shared" si="3"/>
        <v>0.32307692307692309</v>
      </c>
    </row>
    <row r="60" spans="1:5">
      <c r="A60" s="137" t="s">
        <v>386</v>
      </c>
      <c r="B60" s="135">
        <f>7920</f>
        <v>7920</v>
      </c>
      <c r="C60" s="135">
        <f>19020</f>
        <v>19020</v>
      </c>
      <c r="D60" s="135">
        <f t="shared" si="2"/>
        <v>-11100</v>
      </c>
      <c r="E60" s="136">
        <f t="shared" si="3"/>
        <v>0.41640378548895901</v>
      </c>
    </row>
    <row r="61" spans="1:5">
      <c r="A61" s="137" t="s">
        <v>387</v>
      </c>
      <c r="B61" s="135">
        <f>46000</f>
        <v>46000</v>
      </c>
      <c r="C61" s="135">
        <f>46000</f>
        <v>46000</v>
      </c>
      <c r="D61" s="135">
        <f t="shared" si="2"/>
        <v>0</v>
      </c>
      <c r="E61" s="136">
        <f t="shared" si="3"/>
        <v>1</v>
      </c>
    </row>
    <row r="62" spans="1:5">
      <c r="A62" s="137" t="s">
        <v>388</v>
      </c>
      <c r="B62" s="133"/>
      <c r="C62" s="135">
        <f>4000</f>
        <v>4000</v>
      </c>
      <c r="D62" s="135">
        <f t="shared" si="2"/>
        <v>-4000</v>
      </c>
      <c r="E62" s="136">
        <f t="shared" si="3"/>
        <v>0</v>
      </c>
    </row>
    <row r="63" spans="1:5">
      <c r="A63" s="137" t="s">
        <v>389</v>
      </c>
      <c r="B63" s="135">
        <f>7200</f>
        <v>7200</v>
      </c>
      <c r="C63" s="135">
        <f>9360</f>
        <v>9360</v>
      </c>
      <c r="D63" s="135">
        <f t="shared" si="2"/>
        <v>-2160</v>
      </c>
      <c r="E63" s="136">
        <f t="shared" si="3"/>
        <v>0.76923076923076927</v>
      </c>
    </row>
    <row r="64" spans="1:5">
      <c r="A64" s="137" t="s">
        <v>390</v>
      </c>
      <c r="B64" s="135">
        <f>1480</f>
        <v>1480</v>
      </c>
      <c r="C64" s="135">
        <f>4000</f>
        <v>4000</v>
      </c>
      <c r="D64" s="135">
        <f t="shared" si="2"/>
        <v>-2520</v>
      </c>
      <c r="E64" s="136">
        <f t="shared" si="3"/>
        <v>0.37</v>
      </c>
    </row>
    <row r="65" spans="1:5">
      <c r="A65" s="137" t="s">
        <v>391</v>
      </c>
      <c r="B65" s="133"/>
      <c r="C65" s="133"/>
      <c r="D65" s="135">
        <f t="shared" si="2"/>
        <v>0</v>
      </c>
      <c r="E65" s="136" t="str">
        <f t="shared" si="3"/>
        <v/>
      </c>
    </row>
    <row r="66" spans="1:5">
      <c r="A66" s="137" t="s">
        <v>392</v>
      </c>
      <c r="B66" s="135">
        <f>1922.88</f>
        <v>1922.88</v>
      </c>
      <c r="C66" s="135">
        <f>1650</f>
        <v>1650</v>
      </c>
      <c r="D66" s="135">
        <f t="shared" si="2"/>
        <v>272.88000000000011</v>
      </c>
      <c r="E66" s="136">
        <f t="shared" si="3"/>
        <v>1.1653818181818183</v>
      </c>
    </row>
    <row r="67" spans="1:5">
      <c r="A67" s="137" t="s">
        <v>393</v>
      </c>
      <c r="B67" s="135">
        <f>23801</f>
        <v>23801</v>
      </c>
      <c r="C67" s="135">
        <f>23800</f>
        <v>23800</v>
      </c>
      <c r="D67" s="135">
        <f t="shared" si="2"/>
        <v>1</v>
      </c>
      <c r="E67" s="136">
        <f t="shared" si="3"/>
        <v>1.0000420168067228</v>
      </c>
    </row>
    <row r="68" spans="1:5">
      <c r="A68" s="137" t="s">
        <v>394</v>
      </c>
      <c r="B68" s="133"/>
      <c r="C68" s="135">
        <f>1000</f>
        <v>1000</v>
      </c>
      <c r="D68" s="135">
        <f t="shared" si="2"/>
        <v>-1000</v>
      </c>
      <c r="E68" s="136">
        <f t="shared" si="3"/>
        <v>0</v>
      </c>
    </row>
    <row r="69" spans="1:5">
      <c r="A69" s="137" t="s">
        <v>395</v>
      </c>
      <c r="B69" s="135">
        <f>4832.98</f>
        <v>4832.9799999999996</v>
      </c>
      <c r="C69" s="135">
        <f>6000</f>
        <v>6000</v>
      </c>
      <c r="D69" s="135">
        <f t="shared" si="2"/>
        <v>-1167.0200000000004</v>
      </c>
      <c r="E69" s="136">
        <f t="shared" si="3"/>
        <v>0.80549666666666664</v>
      </c>
    </row>
    <row r="70" spans="1:5">
      <c r="A70" s="137" t="s">
        <v>396</v>
      </c>
      <c r="B70" s="138">
        <f>((((B65)+B66)+B67)+B68)+B69</f>
        <v>30556.86</v>
      </c>
      <c r="C70" s="138">
        <f>((((C65)+C66)+C67)+C68)+C69</f>
        <v>32450</v>
      </c>
      <c r="D70" s="138">
        <f t="shared" si="2"/>
        <v>-1893.1399999999994</v>
      </c>
      <c r="E70" s="139">
        <f t="shared" si="3"/>
        <v>0.94165978428351316</v>
      </c>
    </row>
    <row r="71" spans="1:5">
      <c r="A71" s="137" t="s">
        <v>397</v>
      </c>
      <c r="B71" s="133"/>
      <c r="C71" s="135">
        <f>1600</f>
        <v>1600</v>
      </c>
      <c r="D71" s="135">
        <f t="shared" si="2"/>
        <v>-1600</v>
      </c>
      <c r="E71" s="136">
        <f t="shared" si="3"/>
        <v>0</v>
      </c>
    </row>
    <row r="72" spans="1:5">
      <c r="A72" s="137" t="s">
        <v>398</v>
      </c>
      <c r="B72" s="133"/>
      <c r="C72" s="135">
        <f>3000</f>
        <v>3000</v>
      </c>
      <c r="D72" s="135">
        <f t="shared" si="2"/>
        <v>-3000</v>
      </c>
      <c r="E72" s="136">
        <f t="shared" si="3"/>
        <v>0</v>
      </c>
    </row>
    <row r="73" spans="1:5">
      <c r="A73" s="137" t="s">
        <v>399</v>
      </c>
      <c r="B73" s="135">
        <f>500</f>
        <v>500</v>
      </c>
      <c r="C73" s="135">
        <f>3500</f>
        <v>3500</v>
      </c>
      <c r="D73" s="135">
        <f t="shared" si="2"/>
        <v>-3000</v>
      </c>
      <c r="E73" s="136">
        <f t="shared" si="3"/>
        <v>0.14285714285714285</v>
      </c>
    </row>
    <row r="74" spans="1:5">
      <c r="A74" s="137" t="s">
        <v>400</v>
      </c>
      <c r="B74" s="135">
        <f>1000</f>
        <v>1000</v>
      </c>
      <c r="C74" s="135">
        <f>15000</f>
        <v>15000</v>
      </c>
      <c r="D74" s="135">
        <f t="shared" si="2"/>
        <v>-14000</v>
      </c>
      <c r="E74" s="136">
        <f t="shared" si="3"/>
        <v>6.6666666666666666E-2</v>
      </c>
    </row>
    <row r="75" spans="1:5">
      <c r="A75" s="137" t="s">
        <v>401</v>
      </c>
      <c r="B75" s="138">
        <f>(((((((((((B58)+B59)+B60)+B61)+B62)+B63)+B64)+B70)+B71)+B72)+B73)+B74</f>
        <v>103056.86</v>
      </c>
      <c r="C75" s="138">
        <f>(((((((((((C58)+C59)+C60)+C61)+C62)+C63)+C64)+C70)+C71)+C72)+C73)+C74</f>
        <v>163930</v>
      </c>
      <c r="D75" s="138">
        <f t="shared" si="2"/>
        <v>-60873.14</v>
      </c>
      <c r="E75" s="139">
        <f t="shared" si="3"/>
        <v>0.62866381992313791</v>
      </c>
    </row>
    <row r="76" spans="1:5">
      <c r="A76" s="137" t="s">
        <v>402</v>
      </c>
      <c r="B76" s="133"/>
      <c r="C76" s="133"/>
      <c r="D76" s="135">
        <f t="shared" si="2"/>
        <v>0</v>
      </c>
      <c r="E76" s="136" t="str">
        <f t="shared" si="3"/>
        <v/>
      </c>
    </row>
    <row r="77" spans="1:5">
      <c r="A77" s="137" t="s">
        <v>403</v>
      </c>
      <c r="B77" s="135">
        <f>342.83</f>
        <v>342.83</v>
      </c>
      <c r="C77" s="135">
        <f>10000</f>
        <v>10000</v>
      </c>
      <c r="D77" s="135">
        <f t="shared" si="2"/>
        <v>-9657.17</v>
      </c>
      <c r="E77" s="136">
        <f t="shared" si="3"/>
        <v>3.4283000000000001E-2</v>
      </c>
    </row>
    <row r="78" spans="1:5">
      <c r="A78" s="137" t="s">
        <v>404</v>
      </c>
      <c r="B78" s="135">
        <f>150000</f>
        <v>150000</v>
      </c>
      <c r="C78" s="135">
        <f>187452</f>
        <v>187452</v>
      </c>
      <c r="D78" s="135">
        <f t="shared" si="2"/>
        <v>-37452</v>
      </c>
      <c r="E78" s="136">
        <f t="shared" si="3"/>
        <v>0.80020485244222517</v>
      </c>
    </row>
    <row r="79" spans="1:5">
      <c r="A79" s="137" t="s">
        <v>405</v>
      </c>
      <c r="B79" s="133"/>
      <c r="C79" s="135">
        <f>39215</f>
        <v>39215</v>
      </c>
      <c r="D79" s="135">
        <f t="shared" si="2"/>
        <v>-39215</v>
      </c>
      <c r="E79" s="136">
        <f t="shared" si="3"/>
        <v>0</v>
      </c>
    </row>
    <row r="80" spans="1:5">
      <c r="A80" s="137" t="s">
        <v>406</v>
      </c>
      <c r="B80" s="135">
        <f>29000</f>
        <v>29000</v>
      </c>
      <c r="C80" s="135">
        <f>29000</f>
        <v>29000</v>
      </c>
      <c r="D80" s="135">
        <f t="shared" si="2"/>
        <v>0</v>
      </c>
      <c r="E80" s="136">
        <f t="shared" si="3"/>
        <v>1</v>
      </c>
    </row>
    <row r="81" spans="1:5">
      <c r="A81" s="137" t="s">
        <v>407</v>
      </c>
      <c r="B81" s="133"/>
      <c r="C81" s="135">
        <f>3500</f>
        <v>3500</v>
      </c>
      <c r="D81" s="135">
        <f t="shared" si="2"/>
        <v>-3500</v>
      </c>
      <c r="E81" s="136">
        <f t="shared" si="3"/>
        <v>0</v>
      </c>
    </row>
    <row r="82" spans="1:5">
      <c r="A82" s="137" t="s">
        <v>408</v>
      </c>
      <c r="B82" s="133"/>
      <c r="C82" s="135">
        <f>500</f>
        <v>500</v>
      </c>
      <c r="D82" s="135">
        <f t="shared" si="2"/>
        <v>-500</v>
      </c>
      <c r="E82" s="136">
        <f t="shared" si="3"/>
        <v>0</v>
      </c>
    </row>
    <row r="83" spans="1:5">
      <c r="A83" s="137" t="s">
        <v>409</v>
      </c>
      <c r="B83" s="135">
        <f>45.67</f>
        <v>45.67</v>
      </c>
      <c r="C83" s="135">
        <f>500</f>
        <v>500</v>
      </c>
      <c r="D83" s="135">
        <f t="shared" si="2"/>
        <v>-454.33</v>
      </c>
      <c r="E83" s="136">
        <f t="shared" si="3"/>
        <v>9.1340000000000005E-2</v>
      </c>
    </row>
    <row r="84" spans="1:5">
      <c r="A84" s="137" t="s">
        <v>410</v>
      </c>
      <c r="B84" s="133"/>
      <c r="C84" s="135">
        <f>1000</f>
        <v>1000</v>
      </c>
      <c r="D84" s="135">
        <f t="shared" si="2"/>
        <v>-1000</v>
      </c>
      <c r="E84" s="136">
        <f t="shared" si="3"/>
        <v>0</v>
      </c>
    </row>
    <row r="85" spans="1:5">
      <c r="A85" s="137" t="s">
        <v>411</v>
      </c>
      <c r="B85" s="133"/>
      <c r="C85" s="135">
        <f>3000</f>
        <v>3000</v>
      </c>
      <c r="D85" s="135">
        <f t="shared" si="2"/>
        <v>-3000</v>
      </c>
      <c r="E85" s="136">
        <f t="shared" si="3"/>
        <v>0</v>
      </c>
    </row>
    <row r="86" spans="1:5">
      <c r="A86" s="137" t="s">
        <v>412</v>
      </c>
      <c r="B86" s="135">
        <f>11150</f>
        <v>11150</v>
      </c>
      <c r="C86" s="135"/>
      <c r="D86" s="135">
        <f t="shared" si="2"/>
        <v>11150</v>
      </c>
      <c r="E86" s="136" t="str">
        <f t="shared" si="3"/>
        <v/>
      </c>
    </row>
    <row r="87" spans="1:5">
      <c r="A87" s="137" t="s">
        <v>413</v>
      </c>
      <c r="B87" s="138">
        <f>((((((((((B76)+B77)+B78)+B79)+B80)+B81)+B82)+B83)+B84)+B85)+B86</f>
        <v>190538.5</v>
      </c>
      <c r="C87" s="138">
        <f>((((((((((C76)+C77)+C78)+C79)+C80)+C81)+C82)+C83)+C84)+C85)+C86</f>
        <v>274167</v>
      </c>
      <c r="D87" s="138">
        <f t="shared" si="2"/>
        <v>-83628.5</v>
      </c>
      <c r="E87" s="139">
        <f t="shared" si="3"/>
        <v>0.69497240732838017</v>
      </c>
    </row>
    <row r="88" spans="1:5">
      <c r="A88" s="137" t="s">
        <v>414</v>
      </c>
      <c r="B88" s="133"/>
      <c r="C88" s="133"/>
      <c r="D88" s="135">
        <f t="shared" si="2"/>
        <v>0</v>
      </c>
      <c r="E88" s="136" t="str">
        <f t="shared" si="3"/>
        <v/>
      </c>
    </row>
    <row r="89" spans="1:5">
      <c r="A89" s="137" t="s">
        <v>415</v>
      </c>
      <c r="B89" s="135">
        <f>3408</f>
        <v>3408</v>
      </c>
      <c r="C89" s="135">
        <f>10000</f>
        <v>10000</v>
      </c>
      <c r="D89" s="135">
        <f t="shared" si="2"/>
        <v>-6592</v>
      </c>
      <c r="E89" s="136">
        <f t="shared" si="3"/>
        <v>0.34079999999999999</v>
      </c>
    </row>
    <row r="90" spans="1:5">
      <c r="A90" s="137" t="s">
        <v>416</v>
      </c>
      <c r="B90" s="135">
        <f>3252.5</f>
        <v>3252.5</v>
      </c>
      <c r="C90" s="135">
        <f>11800</f>
        <v>11800</v>
      </c>
      <c r="D90" s="135">
        <f t="shared" si="2"/>
        <v>-8547.5</v>
      </c>
      <c r="E90" s="136">
        <f t="shared" si="3"/>
        <v>0.27563559322033898</v>
      </c>
    </row>
    <row r="91" spans="1:5">
      <c r="A91" s="137" t="s">
        <v>417</v>
      </c>
      <c r="B91" s="135">
        <f>323</f>
        <v>323</v>
      </c>
      <c r="C91" s="135">
        <f>1500</f>
        <v>1500</v>
      </c>
      <c r="D91" s="135">
        <f t="shared" si="2"/>
        <v>-1177</v>
      </c>
      <c r="E91" s="136">
        <f t="shared" si="3"/>
        <v>0.21533333333333332</v>
      </c>
    </row>
    <row r="92" spans="1:5">
      <c r="A92" s="137" t="s">
        <v>418</v>
      </c>
      <c r="B92" s="135">
        <f>20</f>
        <v>20</v>
      </c>
      <c r="C92" s="135"/>
      <c r="D92" s="135">
        <f t="shared" si="2"/>
        <v>20</v>
      </c>
      <c r="E92" s="136" t="str">
        <f t="shared" si="3"/>
        <v/>
      </c>
    </row>
    <row r="93" spans="1:5">
      <c r="A93" s="137" t="s">
        <v>419</v>
      </c>
      <c r="B93" s="133"/>
      <c r="C93" s="135">
        <f>1000</f>
        <v>1000</v>
      </c>
      <c r="D93" s="135">
        <f t="shared" si="2"/>
        <v>-1000</v>
      </c>
      <c r="E93" s="136">
        <f t="shared" si="3"/>
        <v>0</v>
      </c>
    </row>
    <row r="94" spans="1:5">
      <c r="A94" s="137" t="s">
        <v>420</v>
      </c>
      <c r="B94" s="138">
        <f>(((((B88)+B89)+B90)+B91)+B92)+B93</f>
        <v>7003.5</v>
      </c>
      <c r="C94" s="138">
        <f>(((((C88)+C89)+C90)+C91)+C92)+C93</f>
        <v>24300</v>
      </c>
      <c r="D94" s="138">
        <f t="shared" si="2"/>
        <v>-17296.5</v>
      </c>
      <c r="E94" s="139">
        <f t="shared" si="3"/>
        <v>0.2882098765432099</v>
      </c>
    </row>
    <row r="95" spans="1:5">
      <c r="A95" s="137" t="s">
        <v>319</v>
      </c>
      <c r="B95" s="133"/>
      <c r="C95" s="133"/>
      <c r="D95" s="135">
        <f t="shared" si="2"/>
        <v>0</v>
      </c>
      <c r="E95" s="136" t="str">
        <f t="shared" si="3"/>
        <v/>
      </c>
    </row>
    <row r="96" spans="1:5">
      <c r="A96" s="137" t="s">
        <v>320</v>
      </c>
      <c r="B96" s="135">
        <f>707.81</f>
        <v>707.81</v>
      </c>
      <c r="C96" s="135">
        <f>2000</f>
        <v>2000</v>
      </c>
      <c r="D96" s="135">
        <f t="shared" si="2"/>
        <v>-1292.19</v>
      </c>
      <c r="E96" s="136">
        <f t="shared" si="3"/>
        <v>0.35390499999999997</v>
      </c>
    </row>
    <row r="97" spans="1:5">
      <c r="A97" s="137" t="s">
        <v>321</v>
      </c>
      <c r="B97" s="133"/>
      <c r="C97" s="135">
        <f>3500</f>
        <v>3500</v>
      </c>
      <c r="D97" s="135">
        <f t="shared" si="2"/>
        <v>-3500</v>
      </c>
      <c r="E97" s="136">
        <f t="shared" si="3"/>
        <v>0</v>
      </c>
    </row>
    <row r="98" spans="1:5">
      <c r="A98" s="137" t="s">
        <v>322</v>
      </c>
      <c r="B98" s="138">
        <f>((B95)+B96)+B97</f>
        <v>707.81</v>
      </c>
      <c r="C98" s="138">
        <f>((C95)+C96)+C97</f>
        <v>5500</v>
      </c>
      <c r="D98" s="138">
        <f t="shared" si="2"/>
        <v>-4792.1900000000005</v>
      </c>
      <c r="E98" s="139">
        <f t="shared" si="3"/>
        <v>0.12869272727272726</v>
      </c>
    </row>
    <row r="99" spans="1:5">
      <c r="A99" s="137" t="s">
        <v>323</v>
      </c>
      <c r="B99" s="133"/>
      <c r="C99" s="133"/>
      <c r="D99" s="135">
        <f t="shared" ref="D99:D133" si="4">(B99)-C99</f>
        <v>0</v>
      </c>
      <c r="E99" s="136" t="str">
        <f t="shared" ref="E99:E133" si="5">IF(C99=0,"",(B99)/C99)</f>
        <v/>
      </c>
    </row>
    <row r="100" spans="1:5">
      <c r="A100" s="137" t="s">
        <v>324</v>
      </c>
      <c r="B100" s="133"/>
      <c r="C100" s="135">
        <f>500</f>
        <v>500</v>
      </c>
      <c r="D100" s="135">
        <f t="shared" si="4"/>
        <v>-500</v>
      </c>
      <c r="E100" s="136">
        <f t="shared" si="5"/>
        <v>0</v>
      </c>
    </row>
    <row r="101" spans="1:5">
      <c r="A101" s="137" t="s">
        <v>325</v>
      </c>
      <c r="B101" s="133"/>
      <c r="C101" s="135">
        <f>1500</f>
        <v>1500</v>
      </c>
      <c r="D101" s="135">
        <f t="shared" si="4"/>
        <v>-1500</v>
      </c>
      <c r="E101" s="136">
        <f t="shared" si="5"/>
        <v>0</v>
      </c>
    </row>
    <row r="102" spans="1:5">
      <c r="A102" s="137" t="s">
        <v>326</v>
      </c>
      <c r="B102" s="133"/>
      <c r="C102" s="135">
        <f>500</f>
        <v>500</v>
      </c>
      <c r="D102" s="135">
        <f t="shared" si="4"/>
        <v>-500</v>
      </c>
      <c r="E102" s="136">
        <f t="shared" si="5"/>
        <v>0</v>
      </c>
    </row>
    <row r="103" spans="1:5">
      <c r="A103" s="137" t="s">
        <v>327</v>
      </c>
      <c r="B103" s="133"/>
      <c r="C103" s="135">
        <f>500</f>
        <v>500</v>
      </c>
      <c r="D103" s="135">
        <f t="shared" si="4"/>
        <v>-500</v>
      </c>
      <c r="E103" s="136">
        <f t="shared" si="5"/>
        <v>0</v>
      </c>
    </row>
    <row r="104" spans="1:5">
      <c r="A104" s="137" t="s">
        <v>457</v>
      </c>
      <c r="B104" s="135">
        <f>187</f>
        <v>187</v>
      </c>
      <c r="C104" s="135">
        <f>500</f>
        <v>500</v>
      </c>
      <c r="D104" s="135">
        <f t="shared" si="4"/>
        <v>-313</v>
      </c>
      <c r="E104" s="136">
        <f t="shared" si="5"/>
        <v>0.374</v>
      </c>
    </row>
    <row r="105" spans="1:5">
      <c r="A105" s="137" t="s">
        <v>458</v>
      </c>
      <c r="B105" s="133"/>
      <c r="C105" s="135">
        <f>500</f>
        <v>500</v>
      </c>
      <c r="D105" s="135">
        <f t="shared" si="4"/>
        <v>-500</v>
      </c>
      <c r="E105" s="136">
        <f t="shared" si="5"/>
        <v>0</v>
      </c>
    </row>
    <row r="106" spans="1:5">
      <c r="A106" s="137" t="s">
        <v>459</v>
      </c>
      <c r="B106" s="133"/>
      <c r="C106" s="135">
        <f>800</f>
        <v>800</v>
      </c>
      <c r="D106" s="135">
        <f t="shared" si="4"/>
        <v>-800</v>
      </c>
      <c r="E106" s="136">
        <f t="shared" si="5"/>
        <v>0</v>
      </c>
    </row>
    <row r="107" spans="1:5">
      <c r="A107" s="137" t="s">
        <v>460</v>
      </c>
      <c r="B107" s="135">
        <f>68.92</f>
        <v>68.92</v>
      </c>
      <c r="C107" s="135">
        <f>500</f>
        <v>500</v>
      </c>
      <c r="D107" s="135">
        <f t="shared" si="4"/>
        <v>-431.08</v>
      </c>
      <c r="E107" s="136">
        <f t="shared" si="5"/>
        <v>0.13783999999999999</v>
      </c>
    </row>
    <row r="108" spans="1:5">
      <c r="A108" s="137" t="s">
        <v>461</v>
      </c>
      <c r="B108" s="133"/>
      <c r="C108" s="135">
        <f>750</f>
        <v>750</v>
      </c>
      <c r="D108" s="135">
        <f t="shared" si="4"/>
        <v>-750</v>
      </c>
      <c r="E108" s="136">
        <f t="shared" si="5"/>
        <v>0</v>
      </c>
    </row>
    <row r="109" spans="1:5">
      <c r="A109" s="137" t="s">
        <v>462</v>
      </c>
      <c r="B109" s="138">
        <f>(((((((((B99)+B100)+B101)+B102)+B103)+B104)+B105)+B106)+B107)+B108</f>
        <v>255.92000000000002</v>
      </c>
      <c r="C109" s="138">
        <f>(((((((((C99)+C100)+C101)+C102)+C103)+C104)+C105)+C106)+C107)+C108</f>
        <v>6050</v>
      </c>
      <c r="D109" s="138">
        <f t="shared" si="4"/>
        <v>-5794.08</v>
      </c>
      <c r="E109" s="139">
        <f t="shared" si="5"/>
        <v>4.2300826446280991E-2</v>
      </c>
    </row>
    <row r="110" spans="1:5">
      <c r="A110" s="137" t="s">
        <v>463</v>
      </c>
      <c r="B110" s="133"/>
      <c r="C110" s="133"/>
      <c r="D110" s="135">
        <f t="shared" si="4"/>
        <v>0</v>
      </c>
      <c r="E110" s="136" t="str">
        <f t="shared" si="5"/>
        <v/>
      </c>
    </row>
    <row r="111" spans="1:5">
      <c r="A111" s="137" t="s">
        <v>464</v>
      </c>
      <c r="B111" s="133"/>
      <c r="C111" s="135">
        <f>500</f>
        <v>500</v>
      </c>
      <c r="D111" s="135">
        <f t="shared" si="4"/>
        <v>-500</v>
      </c>
      <c r="E111" s="136">
        <f t="shared" si="5"/>
        <v>0</v>
      </c>
    </row>
    <row r="112" spans="1:5">
      <c r="A112" s="137" t="s">
        <v>465</v>
      </c>
      <c r="B112" s="135">
        <f>119.88</f>
        <v>119.88</v>
      </c>
      <c r="C112" s="135">
        <f>2700</f>
        <v>2700</v>
      </c>
      <c r="D112" s="135">
        <f t="shared" si="4"/>
        <v>-2580.12</v>
      </c>
      <c r="E112" s="136">
        <f t="shared" si="5"/>
        <v>4.4399999999999995E-2</v>
      </c>
    </row>
    <row r="113" spans="1:5">
      <c r="A113" s="137" t="s">
        <v>466</v>
      </c>
      <c r="B113" s="135">
        <f>557.73</f>
        <v>557.73</v>
      </c>
      <c r="C113" s="135">
        <f>1200</f>
        <v>1200</v>
      </c>
      <c r="D113" s="135">
        <f t="shared" si="4"/>
        <v>-642.27</v>
      </c>
      <c r="E113" s="136">
        <f t="shared" si="5"/>
        <v>0.46477499999999999</v>
      </c>
    </row>
    <row r="114" spans="1:5">
      <c r="A114" s="137" t="s">
        <v>467</v>
      </c>
      <c r="B114" s="133"/>
      <c r="C114" s="135">
        <f>4000</f>
        <v>4000</v>
      </c>
      <c r="D114" s="135">
        <f t="shared" si="4"/>
        <v>-4000</v>
      </c>
      <c r="E114" s="136">
        <f t="shared" si="5"/>
        <v>0</v>
      </c>
    </row>
    <row r="115" spans="1:5">
      <c r="A115" s="137" t="s">
        <v>468</v>
      </c>
      <c r="B115" s="135">
        <f>100.25</f>
        <v>100.25</v>
      </c>
      <c r="C115" s="135">
        <f>700</f>
        <v>700</v>
      </c>
      <c r="D115" s="135">
        <f t="shared" si="4"/>
        <v>-599.75</v>
      </c>
      <c r="E115" s="136">
        <f t="shared" si="5"/>
        <v>0.14321428571428571</v>
      </c>
    </row>
    <row r="116" spans="1:5">
      <c r="A116" s="137" t="s">
        <v>469</v>
      </c>
      <c r="B116" s="133"/>
      <c r="C116" s="135">
        <f>1000</f>
        <v>1000</v>
      </c>
      <c r="D116" s="135">
        <f t="shared" si="4"/>
        <v>-1000</v>
      </c>
      <c r="E116" s="136">
        <f t="shared" si="5"/>
        <v>0</v>
      </c>
    </row>
    <row r="117" spans="1:5">
      <c r="A117" s="137" t="s">
        <v>470</v>
      </c>
      <c r="B117" s="133"/>
      <c r="C117" s="135">
        <f>100</f>
        <v>100</v>
      </c>
      <c r="D117" s="135">
        <f t="shared" si="4"/>
        <v>-100</v>
      </c>
      <c r="E117" s="136">
        <f t="shared" si="5"/>
        <v>0</v>
      </c>
    </row>
    <row r="118" spans="1:5">
      <c r="A118" s="137" t="s">
        <v>471</v>
      </c>
      <c r="B118" s="138">
        <f>(((((((B110)+B111)+B112)+B113)+B114)+B115)+B116)+B117</f>
        <v>777.86</v>
      </c>
      <c r="C118" s="138">
        <f>(((((((C110)+C111)+C112)+C113)+C114)+C115)+C116)+C117</f>
        <v>10200</v>
      </c>
      <c r="D118" s="138">
        <f t="shared" si="4"/>
        <v>-9422.14</v>
      </c>
      <c r="E118" s="139">
        <f t="shared" si="5"/>
        <v>7.6260784313725488E-2</v>
      </c>
    </row>
    <row r="119" spans="1:5">
      <c r="A119" s="137" t="s">
        <v>472</v>
      </c>
      <c r="B119" s="133"/>
      <c r="C119" s="133"/>
      <c r="D119" s="135">
        <f t="shared" si="4"/>
        <v>0</v>
      </c>
      <c r="E119" s="136" t="str">
        <f t="shared" si="5"/>
        <v/>
      </c>
    </row>
    <row r="120" spans="1:5">
      <c r="A120" s="137" t="s">
        <v>473</v>
      </c>
      <c r="B120" s="133"/>
      <c r="C120" s="135">
        <f>4000</f>
        <v>4000</v>
      </c>
      <c r="D120" s="135">
        <f t="shared" si="4"/>
        <v>-4000</v>
      </c>
      <c r="E120" s="136">
        <f t="shared" si="5"/>
        <v>0</v>
      </c>
    </row>
    <row r="121" spans="1:5">
      <c r="A121" s="137" t="s">
        <v>474</v>
      </c>
      <c r="B121" s="135">
        <f>3137</f>
        <v>3137</v>
      </c>
      <c r="C121" s="135">
        <f>7500</f>
        <v>7500</v>
      </c>
      <c r="D121" s="135">
        <f t="shared" si="4"/>
        <v>-4363</v>
      </c>
      <c r="E121" s="136">
        <f t="shared" si="5"/>
        <v>0.41826666666666668</v>
      </c>
    </row>
    <row r="122" spans="1:5">
      <c r="A122" s="137" t="s">
        <v>475</v>
      </c>
      <c r="B122" s="133"/>
      <c r="C122" s="135">
        <f>500</f>
        <v>500</v>
      </c>
      <c r="D122" s="135">
        <f t="shared" si="4"/>
        <v>-500</v>
      </c>
      <c r="E122" s="136">
        <f t="shared" si="5"/>
        <v>0</v>
      </c>
    </row>
    <row r="123" spans="1:5">
      <c r="A123" s="137" t="s">
        <v>476</v>
      </c>
      <c r="B123" s="138">
        <f>(((B119)+B120)+B121)+B122</f>
        <v>3137</v>
      </c>
      <c r="C123" s="138">
        <f>(((C119)+C120)+C121)+C122</f>
        <v>12000</v>
      </c>
      <c r="D123" s="138">
        <f t="shared" si="4"/>
        <v>-8863</v>
      </c>
      <c r="E123" s="139">
        <f t="shared" si="5"/>
        <v>0.26141666666666669</v>
      </c>
    </row>
    <row r="124" spans="1:5">
      <c r="A124" s="137" t="s">
        <v>477</v>
      </c>
      <c r="B124" s="135">
        <f>6730</f>
        <v>6730</v>
      </c>
      <c r="C124" s="135">
        <f>48050</f>
        <v>48050</v>
      </c>
      <c r="D124" s="135">
        <f t="shared" si="4"/>
        <v>-41320</v>
      </c>
      <c r="E124" s="136">
        <f t="shared" si="5"/>
        <v>0.14006243496357962</v>
      </c>
    </row>
    <row r="125" spans="1:5">
      <c r="A125" s="137" t="s">
        <v>478</v>
      </c>
      <c r="B125" s="135">
        <f>8962.34</f>
        <v>8962.34</v>
      </c>
      <c r="C125" s="135"/>
      <c r="D125" s="135">
        <f t="shared" si="4"/>
        <v>8962.34</v>
      </c>
      <c r="E125" s="136" t="str">
        <f t="shared" si="5"/>
        <v/>
      </c>
    </row>
    <row r="126" spans="1:5">
      <c r="A126" s="137" t="s">
        <v>479</v>
      </c>
      <c r="B126" s="133"/>
      <c r="C126" s="135">
        <f>1000</f>
        <v>1000</v>
      </c>
      <c r="D126" s="135">
        <f t="shared" si="4"/>
        <v>-1000</v>
      </c>
      <c r="E126" s="136">
        <f t="shared" si="5"/>
        <v>0</v>
      </c>
    </row>
    <row r="127" spans="1:5">
      <c r="A127" s="137" t="s">
        <v>480</v>
      </c>
      <c r="B127" s="133"/>
      <c r="C127" s="135">
        <f>7100</f>
        <v>7100</v>
      </c>
      <c r="D127" s="135">
        <f t="shared" si="4"/>
        <v>-7100</v>
      </c>
      <c r="E127" s="136">
        <f t="shared" si="5"/>
        <v>0</v>
      </c>
    </row>
    <row r="128" spans="1:5">
      <c r="A128" s="137" t="s">
        <v>481</v>
      </c>
      <c r="B128" s="133"/>
      <c r="C128" s="135">
        <f>600</f>
        <v>600</v>
      </c>
      <c r="D128" s="135">
        <f t="shared" si="4"/>
        <v>-600</v>
      </c>
      <c r="E128" s="136">
        <f t="shared" si="5"/>
        <v>0</v>
      </c>
    </row>
    <row r="129" spans="1:5">
      <c r="A129" s="137" t="s">
        <v>482</v>
      </c>
      <c r="B129" s="133"/>
      <c r="C129" s="135">
        <f>3000</f>
        <v>3000</v>
      </c>
      <c r="D129" s="135">
        <f t="shared" si="4"/>
        <v>-3000</v>
      </c>
      <c r="E129" s="136">
        <f t="shared" si="5"/>
        <v>0</v>
      </c>
    </row>
    <row r="130" spans="1:5">
      <c r="A130" s="137" t="s">
        <v>483</v>
      </c>
      <c r="B130" s="138">
        <f>((((B125)+B126)+B127)+B128)+B129</f>
        <v>8962.34</v>
      </c>
      <c r="C130" s="138">
        <f>((((C125)+C126)+C127)+C128)+C129</f>
        <v>11700</v>
      </c>
      <c r="D130" s="138">
        <f t="shared" si="4"/>
        <v>-2737.66</v>
      </c>
      <c r="E130" s="139">
        <f t="shared" si="5"/>
        <v>0.76601196581196584</v>
      </c>
    </row>
    <row r="131" spans="1:5">
      <c r="A131" s="137" t="s">
        <v>484</v>
      </c>
      <c r="B131" s="138">
        <f>(((((((((((((B42)+B45)+B48)+B49)+B57)+B75)+B87)+B94)+B98)+B109)+B118)+B123)+B124)+B130</f>
        <v>383197.39999999997</v>
      </c>
      <c r="C131" s="138">
        <f>(((((((((((((C42)+C45)+C48)+C49)+C57)+C75)+C87)+C94)+C98)+C109)+C118)+C123)+C124)+C130</f>
        <v>592214</v>
      </c>
      <c r="D131" s="138">
        <f t="shared" si="4"/>
        <v>-209016.60000000003</v>
      </c>
      <c r="E131" s="139">
        <f t="shared" si="5"/>
        <v>0.64705900232010716</v>
      </c>
    </row>
    <row r="132" spans="1:5">
      <c r="A132" s="137" t="s">
        <v>485</v>
      </c>
      <c r="B132" s="138">
        <f>(B33)-B131</f>
        <v>47499.800000000047</v>
      </c>
      <c r="C132" s="138">
        <f>(C33)-C131</f>
        <v>-592214</v>
      </c>
      <c r="D132" s="138">
        <f t="shared" si="4"/>
        <v>639713.80000000005</v>
      </c>
      <c r="E132" s="139">
        <f t="shared" si="5"/>
        <v>-8.0207154846052356E-2</v>
      </c>
    </row>
    <row r="133" spans="1:5" ht="15" thickBot="1">
      <c r="A133" s="137" t="s">
        <v>486</v>
      </c>
      <c r="B133" s="140">
        <f>(B132)+0</f>
        <v>47499.800000000047</v>
      </c>
      <c r="C133" s="140">
        <f>(C132)+0</f>
        <v>-592214</v>
      </c>
      <c r="D133" s="140">
        <f t="shared" si="4"/>
        <v>639713.80000000005</v>
      </c>
      <c r="E133" s="141">
        <f t="shared" si="5"/>
        <v>-8.0207154846052356E-2</v>
      </c>
    </row>
    <row r="134" spans="1:5" ht="15" thickTop="1">
      <c r="A134" s="137"/>
      <c r="B134" s="133"/>
      <c r="C134" s="133"/>
      <c r="D134" s="133"/>
      <c r="E134" s="133"/>
    </row>
    <row r="137" spans="1:5">
      <c r="A137" s="789" t="s">
        <v>487</v>
      </c>
      <c r="B137" s="789"/>
      <c r="C137" s="789"/>
      <c r="D137" s="789"/>
      <c r="E137" s="789"/>
    </row>
  </sheetData>
  <mergeCells count="5">
    <mergeCell ref="A1:E1"/>
    <mergeCell ref="A2:E2"/>
    <mergeCell ref="A3:E3"/>
    <mergeCell ref="B5:E5"/>
    <mergeCell ref="A137:E13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U22" sqref="U21:U22"/>
    </sheetView>
    <sheetView workbookViewId="1"/>
  </sheetViews>
  <sheetFormatPr defaultColWidth="9.109375" defaultRowHeight="14.4"/>
  <cols>
    <col min="1" max="1" width="27.44140625" style="24" customWidth="1"/>
    <col min="2" max="2" width="19.33203125" style="221" bestFit="1" customWidth="1"/>
    <col min="3" max="3" width="13" style="221" customWidth="1"/>
    <col min="4" max="5" width="12.33203125" style="24" customWidth="1"/>
    <col min="6" max="6" width="20.44140625" style="177" hidden="1" customWidth="1"/>
    <col min="7" max="7" width="17.109375" style="24" hidden="1" customWidth="1"/>
    <col min="8" max="8" width="15.33203125" style="24" hidden="1" customWidth="1"/>
    <col min="9" max="9" width="16.44140625" style="24" hidden="1" customWidth="1"/>
    <col min="10" max="10" width="14.109375" style="24" hidden="1" customWidth="1"/>
    <col min="11" max="11" width="14.33203125" style="245" customWidth="1"/>
    <col min="12" max="12" width="13.44140625" style="245" customWidth="1"/>
    <col min="13" max="13" width="15" style="245" customWidth="1"/>
    <col min="14" max="14" width="16.33203125" style="245" hidden="1" customWidth="1"/>
    <col min="15" max="15" width="13.44140625" style="245" hidden="1" customWidth="1"/>
    <col min="16" max="16" width="14.6640625" style="245" hidden="1" customWidth="1"/>
    <col min="17" max="16384" width="9.109375" style="24"/>
  </cols>
  <sheetData>
    <row r="1" spans="1:16" ht="16.5" customHeight="1">
      <c r="A1" s="143" t="s">
        <v>490</v>
      </c>
      <c r="B1" s="144"/>
      <c r="C1" s="144"/>
      <c r="D1" s="795" t="s">
        <v>491</v>
      </c>
      <c r="E1" s="796"/>
      <c r="F1" s="145"/>
      <c r="G1" s="146"/>
      <c r="H1" s="146"/>
      <c r="I1" s="146"/>
      <c r="J1" s="146"/>
      <c r="K1" s="795" t="s">
        <v>492</v>
      </c>
      <c r="L1" s="797"/>
      <c r="M1" s="796"/>
      <c r="N1" s="147"/>
      <c r="O1" s="147"/>
      <c r="P1" s="148"/>
    </row>
    <row r="2" spans="1:16" ht="25.5" customHeight="1">
      <c r="A2" s="149"/>
      <c r="B2" s="798" t="s">
        <v>493</v>
      </c>
      <c r="C2" s="798" t="s">
        <v>494</v>
      </c>
      <c r="D2" s="799" t="s">
        <v>368</v>
      </c>
      <c r="E2" s="800" t="s">
        <v>369</v>
      </c>
      <c r="F2" s="150" t="s">
        <v>370</v>
      </c>
      <c r="G2" s="801" t="s">
        <v>371</v>
      </c>
      <c r="H2" s="802" t="s">
        <v>372</v>
      </c>
      <c r="I2" s="151" t="s">
        <v>373</v>
      </c>
      <c r="J2" s="801" t="s">
        <v>374</v>
      </c>
      <c r="K2" s="803" t="s">
        <v>375</v>
      </c>
      <c r="L2" s="803" t="s">
        <v>376</v>
      </c>
      <c r="M2" s="804" t="s">
        <v>377</v>
      </c>
      <c r="N2" s="790" t="s">
        <v>495</v>
      </c>
      <c r="O2" s="790"/>
      <c r="P2" s="791"/>
    </row>
    <row r="3" spans="1:16" ht="26.25" customHeight="1">
      <c r="A3" s="149"/>
      <c r="B3" s="798"/>
      <c r="C3" s="798"/>
      <c r="D3" s="799"/>
      <c r="E3" s="800"/>
      <c r="F3" s="152">
        <v>40178</v>
      </c>
      <c r="G3" s="801"/>
      <c r="H3" s="802"/>
      <c r="I3" s="153">
        <v>40178</v>
      </c>
      <c r="J3" s="801"/>
      <c r="K3" s="803"/>
      <c r="L3" s="803"/>
      <c r="M3" s="804"/>
      <c r="N3" s="790"/>
      <c r="O3" s="790"/>
      <c r="P3" s="791"/>
    </row>
    <row r="4" spans="1:16" ht="23.25" customHeight="1">
      <c r="A4" s="154" t="s">
        <v>496</v>
      </c>
      <c r="B4" s="155"/>
      <c r="C4" s="155"/>
      <c r="D4" s="154" t="s">
        <v>497</v>
      </c>
      <c r="E4" s="156"/>
      <c r="F4" s="157"/>
      <c r="G4" s="158"/>
      <c r="H4" s="159">
        <v>14.51</v>
      </c>
      <c r="I4" s="160"/>
      <c r="J4" s="158"/>
      <c r="K4" s="161"/>
      <c r="L4" s="161"/>
      <c r="M4" s="162">
        <v>14.51</v>
      </c>
      <c r="N4" s="161" t="s">
        <v>498</v>
      </c>
      <c r="O4" s="161" t="s">
        <v>499</v>
      </c>
      <c r="P4" s="163" t="s">
        <v>500</v>
      </c>
    </row>
    <row r="5" spans="1:16" ht="15.6">
      <c r="A5" s="164" t="str">
        <f>'[2]Donna''s Sheet'!D2</f>
        <v>Alperin, M</v>
      </c>
      <c r="B5" s="165" t="s">
        <v>501</v>
      </c>
      <c r="C5" s="165" t="s">
        <v>502</v>
      </c>
      <c r="D5" s="166">
        <f>'[2]Donna''s Sheet'!D1</f>
        <v>32.5</v>
      </c>
      <c r="E5" s="167">
        <f t="shared" ref="E5:E12" si="0">D5*36</f>
        <v>1170</v>
      </c>
      <c r="F5" s="168">
        <v>445.5</v>
      </c>
      <c r="G5" s="146"/>
      <c r="H5" s="169">
        <f>E5*$H$4</f>
        <v>16976.7</v>
      </c>
      <c r="I5" s="146"/>
      <c r="J5" s="146"/>
      <c r="K5" s="170">
        <f>D5</f>
        <v>32.5</v>
      </c>
      <c r="L5" s="170">
        <f>K5*36</f>
        <v>1170</v>
      </c>
      <c r="M5" s="171">
        <f>L5*$M$4</f>
        <v>16976.7</v>
      </c>
      <c r="N5" s="172"/>
      <c r="O5" s="173"/>
      <c r="P5" s="148"/>
    </row>
    <row r="6" spans="1:16" ht="15.6">
      <c r="A6" s="174" t="str">
        <f>'[2]Donna''s Sheet'!F2</f>
        <v>Devine, L</v>
      </c>
      <c r="B6" s="792" t="s">
        <v>503</v>
      </c>
      <c r="C6" s="792" t="s">
        <v>502</v>
      </c>
      <c r="D6" s="175">
        <v>32.5</v>
      </c>
      <c r="E6" s="176">
        <f t="shared" si="0"/>
        <v>1170</v>
      </c>
      <c r="H6" s="178">
        <f t="shared" ref="H6:H79" si="1">E6*$H$4</f>
        <v>16976.7</v>
      </c>
      <c r="K6" s="179">
        <f t="shared" ref="K6:K69" si="2">D6</f>
        <v>32.5</v>
      </c>
      <c r="L6" s="179">
        <f t="shared" ref="L6:L69" si="3">K6*36</f>
        <v>1170</v>
      </c>
      <c r="M6" s="180">
        <f t="shared" ref="M6:M69" si="4">L6*$M$4</f>
        <v>16976.7</v>
      </c>
      <c r="N6" s="181"/>
      <c r="O6" s="182"/>
      <c r="P6" s="183"/>
    </row>
    <row r="7" spans="1:16" ht="15.6">
      <c r="A7" s="174" t="s">
        <v>504</v>
      </c>
      <c r="B7" s="792"/>
      <c r="C7" s="792"/>
      <c r="D7" s="175">
        <v>1</v>
      </c>
      <c r="E7" s="176">
        <f t="shared" si="0"/>
        <v>36</v>
      </c>
      <c r="H7" s="178">
        <f t="shared" si="1"/>
        <v>522.36</v>
      </c>
      <c r="K7" s="179">
        <f t="shared" si="2"/>
        <v>1</v>
      </c>
      <c r="L7" s="179">
        <f t="shared" si="3"/>
        <v>36</v>
      </c>
      <c r="M7" s="180">
        <f t="shared" si="4"/>
        <v>522.36</v>
      </c>
      <c r="N7" s="181"/>
      <c r="O7" s="182"/>
      <c r="P7" s="183"/>
    </row>
    <row r="8" spans="1:16" ht="15.6">
      <c r="A8" s="174" t="str">
        <f>'[2]Donna''s Sheet'!K2</f>
        <v>Garcia, S</v>
      </c>
      <c r="B8" s="184" t="s">
        <v>505</v>
      </c>
      <c r="C8" s="184" t="s">
        <v>502</v>
      </c>
      <c r="D8" s="175">
        <f>'[2]Donna''s Sheet'!K1</f>
        <v>32.5</v>
      </c>
      <c r="E8" s="176">
        <f t="shared" si="0"/>
        <v>1170</v>
      </c>
      <c r="H8" s="178">
        <f t="shared" si="1"/>
        <v>16976.7</v>
      </c>
      <c r="K8" s="179">
        <f t="shared" si="2"/>
        <v>32.5</v>
      </c>
      <c r="L8" s="179">
        <f t="shared" si="3"/>
        <v>1170</v>
      </c>
      <c r="M8" s="180">
        <f t="shared" si="4"/>
        <v>16976.7</v>
      </c>
      <c r="N8" s="181"/>
      <c r="O8" s="182"/>
      <c r="P8" s="183"/>
    </row>
    <row r="9" spans="1:16" ht="15.6">
      <c r="A9" s="174" t="s">
        <v>506</v>
      </c>
      <c r="B9" s="184" t="s">
        <v>507</v>
      </c>
      <c r="C9" s="184" t="s">
        <v>508</v>
      </c>
      <c r="D9" s="175">
        <f>15/4</f>
        <v>3.75</v>
      </c>
      <c r="E9" s="176">
        <f t="shared" si="0"/>
        <v>135</v>
      </c>
      <c r="H9" s="178">
        <f t="shared" si="1"/>
        <v>1958.85</v>
      </c>
      <c r="K9" s="179">
        <f t="shared" si="2"/>
        <v>3.75</v>
      </c>
      <c r="L9" s="179">
        <f t="shared" si="3"/>
        <v>135</v>
      </c>
      <c r="M9" s="180">
        <f t="shared" si="4"/>
        <v>1958.85</v>
      </c>
      <c r="N9" s="181"/>
      <c r="O9" s="182"/>
      <c r="P9" s="183"/>
    </row>
    <row r="10" spans="1:16" ht="15.6">
      <c r="A10" s="174" t="s">
        <v>506</v>
      </c>
      <c r="B10" s="184" t="s">
        <v>509</v>
      </c>
      <c r="C10" s="184" t="s">
        <v>510</v>
      </c>
      <c r="D10" s="175">
        <v>1.5</v>
      </c>
      <c r="E10" s="176">
        <f t="shared" si="0"/>
        <v>54</v>
      </c>
      <c r="H10" s="178">
        <f t="shared" si="1"/>
        <v>783.54</v>
      </c>
      <c r="K10" s="179">
        <f t="shared" si="2"/>
        <v>1.5</v>
      </c>
      <c r="L10" s="179">
        <f t="shared" si="3"/>
        <v>54</v>
      </c>
      <c r="M10" s="180">
        <f t="shared" si="4"/>
        <v>783.54</v>
      </c>
      <c r="N10" s="181"/>
      <c r="O10" s="182"/>
      <c r="P10" s="183"/>
    </row>
    <row r="11" spans="1:16" ht="15.6">
      <c r="A11" s="174" t="s">
        <v>511</v>
      </c>
      <c r="B11" s="184" t="s">
        <v>512</v>
      </c>
      <c r="C11" s="184" t="s">
        <v>513</v>
      </c>
      <c r="D11" s="175">
        <v>2</v>
      </c>
      <c r="E11" s="176">
        <f t="shared" si="0"/>
        <v>72</v>
      </c>
      <c r="H11" s="178">
        <f t="shared" si="1"/>
        <v>1044.72</v>
      </c>
      <c r="K11" s="179">
        <f t="shared" si="2"/>
        <v>2</v>
      </c>
      <c r="L11" s="179">
        <f t="shared" si="3"/>
        <v>72</v>
      </c>
      <c r="M11" s="180">
        <f t="shared" si="4"/>
        <v>1044.72</v>
      </c>
      <c r="N11" s="181"/>
      <c r="O11" s="182"/>
      <c r="P11" s="183"/>
    </row>
    <row r="12" spans="1:16" ht="15.6">
      <c r="A12" s="174" t="s">
        <v>514</v>
      </c>
      <c r="B12" s="184" t="s">
        <v>515</v>
      </c>
      <c r="C12" s="184" t="s">
        <v>161</v>
      </c>
      <c r="D12" s="175">
        <f>5/9</f>
        <v>0.55555555555555558</v>
      </c>
      <c r="E12" s="176">
        <f t="shared" si="0"/>
        <v>20</v>
      </c>
      <c r="H12" s="178">
        <f t="shared" si="1"/>
        <v>290.2</v>
      </c>
      <c r="K12" s="179">
        <f t="shared" si="2"/>
        <v>0.55555555555555558</v>
      </c>
      <c r="L12" s="179">
        <f t="shared" si="3"/>
        <v>20</v>
      </c>
      <c r="M12" s="180">
        <f t="shared" si="4"/>
        <v>290.2</v>
      </c>
      <c r="N12" s="185">
        <f>SUM(K5:K12)</f>
        <v>106.30555555555556</v>
      </c>
      <c r="O12" s="186">
        <f>SUM(L5:L12)</f>
        <v>3827</v>
      </c>
      <c r="P12" s="180">
        <f>SUM(M5:M12)</f>
        <v>55529.770000000004</v>
      </c>
    </row>
    <row r="13" spans="1:16" s="46" customFormat="1" ht="15.6">
      <c r="A13" s="187" t="s">
        <v>516</v>
      </c>
      <c r="B13" s="188"/>
      <c r="C13" s="188"/>
      <c r="D13" s="189"/>
      <c r="E13" s="190"/>
      <c r="F13" s="191"/>
      <c r="G13" s="192"/>
      <c r="H13" s="193"/>
      <c r="I13" s="192"/>
      <c r="J13" s="192"/>
      <c r="K13" s="194">
        <f>N13</f>
        <v>-35.435185185185183</v>
      </c>
      <c r="L13" s="194">
        <f t="shared" si="3"/>
        <v>-1275.6666666666665</v>
      </c>
      <c r="M13" s="195">
        <f t="shared" si="4"/>
        <v>-18509.923333333332</v>
      </c>
      <c r="N13" s="196">
        <f>-N12/3</f>
        <v>-35.435185185185183</v>
      </c>
      <c r="O13" s="197"/>
      <c r="P13" s="195"/>
    </row>
    <row r="14" spans="1:16" ht="28.5" customHeight="1">
      <c r="A14" s="164" t="str">
        <f>'[2]Donna''s Sheet'!L2</f>
        <v>Kim, C</v>
      </c>
      <c r="B14" s="165" t="s">
        <v>517</v>
      </c>
      <c r="C14" s="165" t="s">
        <v>518</v>
      </c>
      <c r="D14" s="166">
        <f>'[2]Donna''s Sheet'!L1</f>
        <v>25</v>
      </c>
      <c r="E14" s="167">
        <f t="shared" ref="E14:E30" si="5">D14*36</f>
        <v>900</v>
      </c>
      <c r="F14" s="145"/>
      <c r="G14" s="146"/>
      <c r="H14" s="169">
        <f t="shared" si="1"/>
        <v>13059</v>
      </c>
      <c r="I14" s="146"/>
      <c r="J14" s="146"/>
      <c r="K14" s="170">
        <f t="shared" si="2"/>
        <v>25</v>
      </c>
      <c r="L14" s="170">
        <f t="shared" si="3"/>
        <v>900</v>
      </c>
      <c r="M14" s="171">
        <f t="shared" si="4"/>
        <v>13059</v>
      </c>
      <c r="N14" s="172"/>
      <c r="O14" s="173"/>
      <c r="P14" s="148"/>
    </row>
    <row r="15" spans="1:16" ht="15.6">
      <c r="A15" s="174" t="str">
        <f>'[2]Donna''s Sheet'!O2</f>
        <v>LeFleur, S</v>
      </c>
      <c r="B15" s="184" t="s">
        <v>519</v>
      </c>
      <c r="C15" s="184" t="s">
        <v>518</v>
      </c>
      <c r="D15" s="175">
        <f>'[2]Donna''s Sheet'!O1</f>
        <v>25</v>
      </c>
      <c r="E15" s="176">
        <f t="shared" si="5"/>
        <v>900</v>
      </c>
      <c r="H15" s="178">
        <f t="shared" si="1"/>
        <v>13059</v>
      </c>
      <c r="K15" s="179">
        <f t="shared" si="2"/>
        <v>25</v>
      </c>
      <c r="L15" s="179">
        <f t="shared" si="3"/>
        <v>900</v>
      </c>
      <c r="M15" s="180">
        <f t="shared" si="4"/>
        <v>13059</v>
      </c>
      <c r="N15" s="181"/>
      <c r="O15" s="182"/>
      <c r="P15" s="183"/>
    </row>
    <row r="16" spans="1:16" ht="15.6">
      <c r="A16" s="174" t="s">
        <v>520</v>
      </c>
      <c r="B16" s="184" t="s">
        <v>521</v>
      </c>
      <c r="C16" s="184" t="s">
        <v>518</v>
      </c>
      <c r="D16" s="175">
        <f>'[2]Donna''s Sheet'!Q1</f>
        <v>25</v>
      </c>
      <c r="E16" s="176">
        <f t="shared" si="5"/>
        <v>900</v>
      </c>
      <c r="H16" s="178">
        <f t="shared" si="1"/>
        <v>13059</v>
      </c>
      <c r="K16" s="179">
        <f t="shared" si="2"/>
        <v>25</v>
      </c>
      <c r="L16" s="179">
        <f t="shared" si="3"/>
        <v>900</v>
      </c>
      <c r="M16" s="180">
        <f t="shared" si="4"/>
        <v>13059</v>
      </c>
      <c r="N16" s="181"/>
      <c r="O16" s="182"/>
      <c r="P16" s="183"/>
    </row>
    <row r="17" spans="1:16" ht="15.6">
      <c r="A17" s="174" t="s">
        <v>506</v>
      </c>
      <c r="B17" s="184" t="s">
        <v>507</v>
      </c>
      <c r="C17" s="184" t="s">
        <v>522</v>
      </c>
      <c r="D17" s="175">
        <f>15/4</f>
        <v>3.75</v>
      </c>
      <c r="E17" s="176">
        <f t="shared" si="5"/>
        <v>135</v>
      </c>
      <c r="H17" s="178">
        <f t="shared" si="1"/>
        <v>1958.85</v>
      </c>
      <c r="K17" s="179">
        <f t="shared" si="2"/>
        <v>3.75</v>
      </c>
      <c r="L17" s="179">
        <f t="shared" si="3"/>
        <v>135</v>
      </c>
      <c r="M17" s="180">
        <f t="shared" si="4"/>
        <v>1958.85</v>
      </c>
      <c r="N17" s="181"/>
      <c r="O17" s="182"/>
      <c r="P17" s="183"/>
    </row>
    <row r="18" spans="1:16" ht="15.6">
      <c r="A18" s="174" t="s">
        <v>506</v>
      </c>
      <c r="B18" s="184" t="s">
        <v>509</v>
      </c>
      <c r="C18" s="184" t="s">
        <v>523</v>
      </c>
      <c r="D18" s="175">
        <v>1.5</v>
      </c>
      <c r="E18" s="176">
        <f t="shared" si="5"/>
        <v>54</v>
      </c>
      <c r="H18" s="178">
        <f t="shared" si="1"/>
        <v>783.54</v>
      </c>
      <c r="K18" s="179">
        <f t="shared" si="2"/>
        <v>1.5</v>
      </c>
      <c r="L18" s="179">
        <f t="shared" si="3"/>
        <v>54</v>
      </c>
      <c r="M18" s="180">
        <f t="shared" si="4"/>
        <v>783.54</v>
      </c>
      <c r="N18" s="181"/>
      <c r="O18" s="182"/>
      <c r="P18" s="183"/>
    </row>
    <row r="19" spans="1:16" ht="15.6">
      <c r="A19" s="174" t="s">
        <v>511</v>
      </c>
      <c r="B19" s="184" t="s">
        <v>512</v>
      </c>
      <c r="C19" s="184" t="s">
        <v>524</v>
      </c>
      <c r="D19" s="175">
        <v>2</v>
      </c>
      <c r="E19" s="176">
        <f t="shared" si="5"/>
        <v>72</v>
      </c>
      <c r="H19" s="178">
        <f t="shared" si="1"/>
        <v>1044.72</v>
      </c>
      <c r="K19" s="179">
        <f t="shared" si="2"/>
        <v>2</v>
      </c>
      <c r="L19" s="179">
        <f t="shared" si="3"/>
        <v>72</v>
      </c>
      <c r="M19" s="180">
        <f t="shared" si="4"/>
        <v>1044.72</v>
      </c>
      <c r="N19" s="181"/>
      <c r="O19" s="182"/>
      <c r="P19" s="183"/>
    </row>
    <row r="20" spans="1:16" ht="16.5" customHeight="1">
      <c r="A20" s="174" t="s">
        <v>511</v>
      </c>
      <c r="B20" s="184" t="s">
        <v>517</v>
      </c>
      <c r="C20" s="184" t="s">
        <v>525</v>
      </c>
      <c r="D20" s="175">
        <v>5</v>
      </c>
      <c r="E20" s="176">
        <f t="shared" si="5"/>
        <v>180</v>
      </c>
      <c r="H20" s="178">
        <f>E20*$H$4</f>
        <v>2611.8000000000002</v>
      </c>
      <c r="K20" s="179">
        <f t="shared" si="2"/>
        <v>5</v>
      </c>
      <c r="L20" s="179">
        <f t="shared" si="3"/>
        <v>180</v>
      </c>
      <c r="M20" s="180">
        <f t="shared" si="4"/>
        <v>2611.8000000000002</v>
      </c>
      <c r="N20" s="181"/>
      <c r="O20" s="182"/>
      <c r="P20" s="183"/>
    </row>
    <row r="21" spans="1:16" ht="15.6">
      <c r="A21" s="174" t="s">
        <v>520</v>
      </c>
      <c r="B21" s="184" t="s">
        <v>521</v>
      </c>
      <c r="C21" s="184" t="s">
        <v>525</v>
      </c>
      <c r="D21" s="175">
        <v>5</v>
      </c>
      <c r="E21" s="176">
        <f t="shared" si="5"/>
        <v>180</v>
      </c>
      <c r="H21" s="178">
        <f>E21*$H$4</f>
        <v>2611.8000000000002</v>
      </c>
      <c r="K21" s="179">
        <f t="shared" si="2"/>
        <v>5</v>
      </c>
      <c r="L21" s="179">
        <f t="shared" si="3"/>
        <v>180</v>
      </c>
      <c r="M21" s="180">
        <f t="shared" si="4"/>
        <v>2611.8000000000002</v>
      </c>
      <c r="N21" s="181"/>
      <c r="O21" s="182"/>
      <c r="P21" s="183"/>
    </row>
    <row r="22" spans="1:16" ht="15.6">
      <c r="A22" s="198" t="s">
        <v>514</v>
      </c>
      <c r="B22" s="199" t="s">
        <v>515</v>
      </c>
      <c r="C22" s="199" t="s">
        <v>161</v>
      </c>
      <c r="D22" s="200">
        <f>5/9</f>
        <v>0.55555555555555558</v>
      </c>
      <c r="E22" s="201">
        <f t="shared" si="5"/>
        <v>20</v>
      </c>
      <c r="F22" s="202"/>
      <c r="G22" s="203"/>
      <c r="H22" s="204">
        <f>E22*$H$4</f>
        <v>290.2</v>
      </c>
      <c r="I22" s="203"/>
      <c r="J22" s="203"/>
      <c r="K22" s="205">
        <f t="shared" si="2"/>
        <v>0.55555555555555558</v>
      </c>
      <c r="L22" s="205">
        <f t="shared" si="3"/>
        <v>20</v>
      </c>
      <c r="M22" s="206">
        <f t="shared" si="4"/>
        <v>290.2</v>
      </c>
      <c r="N22" s="207">
        <f>SUM(K14:K22)</f>
        <v>92.805555555555557</v>
      </c>
      <c r="O22" s="208">
        <f>SUM(L14:L22)</f>
        <v>3341</v>
      </c>
      <c r="P22" s="206">
        <f>SUM(M14:M22)</f>
        <v>48477.91</v>
      </c>
    </row>
    <row r="23" spans="1:16" ht="24" customHeight="1">
      <c r="A23" s="164" t="s">
        <v>514</v>
      </c>
      <c r="B23" s="793" t="s">
        <v>526</v>
      </c>
      <c r="C23" s="793" t="s">
        <v>527</v>
      </c>
      <c r="D23" s="166">
        <v>1</v>
      </c>
      <c r="E23" s="167">
        <f t="shared" si="5"/>
        <v>36</v>
      </c>
      <c r="F23" s="145"/>
      <c r="G23" s="146"/>
      <c r="H23" s="169">
        <f t="shared" si="1"/>
        <v>522.36</v>
      </c>
      <c r="I23" s="146"/>
      <c r="J23" s="146"/>
      <c r="K23" s="170">
        <f t="shared" si="2"/>
        <v>1</v>
      </c>
      <c r="L23" s="170">
        <f t="shared" si="3"/>
        <v>36</v>
      </c>
      <c r="M23" s="171">
        <f t="shared" si="4"/>
        <v>522.36</v>
      </c>
      <c r="N23" s="172"/>
      <c r="O23" s="173"/>
      <c r="P23" s="148"/>
    </row>
    <row r="24" spans="1:16" ht="16.5" customHeight="1">
      <c r="A24" s="174" t="s">
        <v>528</v>
      </c>
      <c r="B24" s="794"/>
      <c r="C24" s="794"/>
      <c r="D24" s="175">
        <v>20</v>
      </c>
      <c r="E24" s="176">
        <f t="shared" si="5"/>
        <v>720</v>
      </c>
      <c r="H24" s="178">
        <f t="shared" si="1"/>
        <v>10447.200000000001</v>
      </c>
      <c r="K24" s="179">
        <f t="shared" si="2"/>
        <v>20</v>
      </c>
      <c r="L24" s="179">
        <f t="shared" si="3"/>
        <v>720</v>
      </c>
      <c r="M24" s="180">
        <f t="shared" si="4"/>
        <v>10447.200000000001</v>
      </c>
      <c r="N24" s="181"/>
      <c r="O24" s="182"/>
      <c r="P24" s="183"/>
    </row>
    <row r="25" spans="1:16" ht="15.6">
      <c r="A25" s="174" t="s">
        <v>529</v>
      </c>
      <c r="B25" s="184" t="s">
        <v>530</v>
      </c>
      <c r="C25" s="184" t="s">
        <v>527</v>
      </c>
      <c r="D25" s="175">
        <f>'[2]Donna''s Sheet'!E1</f>
        <v>20</v>
      </c>
      <c r="E25" s="176">
        <f t="shared" si="5"/>
        <v>720</v>
      </c>
      <c r="H25" s="178">
        <f t="shared" si="1"/>
        <v>10447.200000000001</v>
      </c>
      <c r="K25" s="179">
        <f t="shared" si="2"/>
        <v>20</v>
      </c>
      <c r="L25" s="179">
        <f t="shared" si="3"/>
        <v>720</v>
      </c>
      <c r="M25" s="180">
        <f t="shared" si="4"/>
        <v>10447.200000000001</v>
      </c>
      <c r="N25" s="181"/>
      <c r="O25" s="182"/>
      <c r="P25" s="183"/>
    </row>
    <row r="26" spans="1:16" ht="15.6">
      <c r="A26" s="174" t="s">
        <v>506</v>
      </c>
      <c r="B26" s="184" t="s">
        <v>507</v>
      </c>
      <c r="C26" s="184" t="s">
        <v>531</v>
      </c>
      <c r="D26" s="175">
        <f>15/4</f>
        <v>3.75</v>
      </c>
      <c r="E26" s="176">
        <f t="shared" si="5"/>
        <v>135</v>
      </c>
      <c r="H26" s="178">
        <f t="shared" si="1"/>
        <v>1958.85</v>
      </c>
      <c r="K26" s="179">
        <f t="shared" si="2"/>
        <v>3.75</v>
      </c>
      <c r="L26" s="179">
        <f t="shared" si="3"/>
        <v>135</v>
      </c>
      <c r="M26" s="180">
        <f t="shared" si="4"/>
        <v>1958.85</v>
      </c>
      <c r="N26" s="181"/>
      <c r="O26" s="182"/>
      <c r="P26" s="183"/>
    </row>
    <row r="27" spans="1:16" ht="15.6">
      <c r="A27" s="174" t="s">
        <v>506</v>
      </c>
      <c r="B27" s="184" t="s">
        <v>509</v>
      </c>
      <c r="C27" s="184" t="s">
        <v>532</v>
      </c>
      <c r="D27" s="175">
        <v>1</v>
      </c>
      <c r="E27" s="176">
        <f t="shared" si="5"/>
        <v>36</v>
      </c>
      <c r="H27" s="178">
        <f t="shared" si="1"/>
        <v>522.36</v>
      </c>
      <c r="K27" s="179">
        <f t="shared" si="2"/>
        <v>1</v>
      </c>
      <c r="L27" s="179">
        <f t="shared" si="3"/>
        <v>36</v>
      </c>
      <c r="M27" s="180">
        <f t="shared" si="4"/>
        <v>522.36</v>
      </c>
      <c r="N27" s="181"/>
      <c r="O27" s="182"/>
      <c r="P27" s="183"/>
    </row>
    <row r="28" spans="1:16" ht="15.6">
      <c r="A28" s="174" t="s">
        <v>511</v>
      </c>
      <c r="B28" s="184" t="s">
        <v>512</v>
      </c>
      <c r="C28" s="184" t="s">
        <v>533</v>
      </c>
      <c r="D28" s="175">
        <v>1.5</v>
      </c>
      <c r="E28" s="176">
        <f t="shared" si="5"/>
        <v>54</v>
      </c>
      <c r="H28" s="178">
        <f t="shared" si="1"/>
        <v>783.54</v>
      </c>
      <c r="K28" s="179">
        <f t="shared" si="2"/>
        <v>1.5</v>
      </c>
      <c r="L28" s="179">
        <f t="shared" si="3"/>
        <v>54</v>
      </c>
      <c r="M28" s="180">
        <f t="shared" si="4"/>
        <v>783.54</v>
      </c>
      <c r="N28" s="181"/>
      <c r="O28" s="182"/>
      <c r="P28" s="183"/>
    </row>
    <row r="29" spans="1:16" ht="15.6">
      <c r="A29" s="174" t="s">
        <v>529</v>
      </c>
      <c r="B29" s="184" t="s">
        <v>530</v>
      </c>
      <c r="C29" s="184" t="s">
        <v>525</v>
      </c>
      <c r="D29" s="175">
        <v>5</v>
      </c>
      <c r="E29" s="176">
        <f t="shared" si="5"/>
        <v>180</v>
      </c>
      <c r="H29" s="178">
        <f>E29*$H$4</f>
        <v>2611.8000000000002</v>
      </c>
      <c r="K29" s="179">
        <f t="shared" si="2"/>
        <v>5</v>
      </c>
      <c r="L29" s="179">
        <f t="shared" si="3"/>
        <v>180</v>
      </c>
      <c r="M29" s="180">
        <f t="shared" si="4"/>
        <v>2611.8000000000002</v>
      </c>
      <c r="N29" s="181"/>
      <c r="O29" s="182"/>
      <c r="P29" s="183"/>
    </row>
    <row r="30" spans="1:16" ht="15.6">
      <c r="A30" s="174" t="s">
        <v>514</v>
      </c>
      <c r="B30" s="184" t="s">
        <v>515</v>
      </c>
      <c r="C30" s="184" t="s">
        <v>161</v>
      </c>
      <c r="D30" s="175">
        <f>5/9</f>
        <v>0.55555555555555558</v>
      </c>
      <c r="E30" s="176">
        <f t="shared" si="5"/>
        <v>20</v>
      </c>
      <c r="H30" s="178">
        <f>E30*$H$4</f>
        <v>290.2</v>
      </c>
      <c r="K30" s="179">
        <f t="shared" si="2"/>
        <v>0.55555555555555558</v>
      </c>
      <c r="L30" s="179">
        <f t="shared" si="3"/>
        <v>20</v>
      </c>
      <c r="M30" s="180">
        <f t="shared" si="4"/>
        <v>290.2</v>
      </c>
      <c r="N30" s="185">
        <f>SUM(K23:K30)</f>
        <v>52.805555555555557</v>
      </c>
      <c r="O30" s="186">
        <f>SUM(L23:L30)</f>
        <v>1901</v>
      </c>
      <c r="P30" s="180">
        <f>SUM(M23:M30)</f>
        <v>27583.510000000002</v>
      </c>
    </row>
    <row r="31" spans="1:16" s="46" customFormat="1" ht="15.6">
      <c r="A31" s="209" t="s">
        <v>534</v>
      </c>
      <c r="B31" s="210"/>
      <c r="C31" s="210"/>
      <c r="D31" s="211"/>
      <c r="E31" s="212"/>
      <c r="F31" s="213"/>
      <c r="G31" s="213"/>
      <c r="H31" s="214"/>
      <c r="I31" s="213"/>
      <c r="J31" s="213"/>
      <c r="K31" s="194">
        <f>N31</f>
        <v>23.902777777777779</v>
      </c>
      <c r="L31" s="194">
        <f t="shared" si="3"/>
        <v>860.5</v>
      </c>
      <c r="M31" s="195">
        <f>L31*$M$4</f>
        <v>12485.855</v>
      </c>
      <c r="N31" s="196">
        <f>(D23+D24+D25+D26+D27+D28+D30)/2</f>
        <v>23.902777777777779</v>
      </c>
      <c r="O31" s="197">
        <f>N31*36</f>
        <v>860.5</v>
      </c>
      <c r="P31" s="195">
        <f>O31*M4</f>
        <v>12485.855</v>
      </c>
    </row>
    <row r="32" spans="1:16" ht="24" customHeight="1">
      <c r="A32" s="215" t="s">
        <v>535</v>
      </c>
      <c r="B32" s="165" t="s">
        <v>536</v>
      </c>
      <c r="C32" s="165" t="s">
        <v>537</v>
      </c>
      <c r="D32" s="166">
        <v>7.5</v>
      </c>
      <c r="E32" s="167">
        <f t="shared" ref="E32:E55" si="6">D32*36</f>
        <v>270</v>
      </c>
      <c r="F32" s="145"/>
      <c r="G32" s="146"/>
      <c r="H32" s="169">
        <f t="shared" si="1"/>
        <v>3917.7</v>
      </c>
      <c r="I32" s="146"/>
      <c r="J32" s="146"/>
      <c r="K32" s="170">
        <f t="shared" si="2"/>
        <v>7.5</v>
      </c>
      <c r="L32" s="170">
        <f t="shared" si="3"/>
        <v>270</v>
      </c>
      <c r="M32" s="171">
        <f t="shared" si="4"/>
        <v>3917.7</v>
      </c>
      <c r="N32" s="172"/>
      <c r="O32" s="173"/>
      <c r="P32" s="148"/>
    </row>
    <row r="33" spans="1:16" ht="15.6">
      <c r="A33" s="216" t="s">
        <v>538</v>
      </c>
      <c r="B33" s="184" t="s">
        <v>536</v>
      </c>
      <c r="C33" s="184" t="s">
        <v>537</v>
      </c>
      <c r="D33" s="175">
        <v>10</v>
      </c>
      <c r="E33" s="217">
        <f t="shared" si="6"/>
        <v>360</v>
      </c>
      <c r="F33" s="152"/>
      <c r="G33" s="153"/>
      <c r="H33" s="178">
        <f t="shared" si="1"/>
        <v>5223.6000000000004</v>
      </c>
      <c r="I33" s="218"/>
      <c r="K33" s="179">
        <f t="shared" si="2"/>
        <v>10</v>
      </c>
      <c r="L33" s="179">
        <f t="shared" si="3"/>
        <v>360</v>
      </c>
      <c r="M33" s="180">
        <f t="shared" si="4"/>
        <v>5223.6000000000004</v>
      </c>
      <c r="N33" s="181"/>
      <c r="O33" s="182"/>
      <c r="P33" s="183"/>
    </row>
    <row r="34" spans="1:16" ht="15.6">
      <c r="A34" s="174" t="s">
        <v>504</v>
      </c>
      <c r="B34" s="184" t="s">
        <v>539</v>
      </c>
      <c r="C34" s="184" t="s">
        <v>537</v>
      </c>
      <c r="D34" s="175">
        <v>1</v>
      </c>
      <c r="E34" s="217">
        <f t="shared" si="6"/>
        <v>36</v>
      </c>
      <c r="F34" s="152"/>
      <c r="G34" s="153"/>
      <c r="H34" s="178">
        <f t="shared" si="1"/>
        <v>522.36</v>
      </c>
      <c r="I34" s="218"/>
      <c r="K34" s="179">
        <f t="shared" si="2"/>
        <v>1</v>
      </c>
      <c r="L34" s="179">
        <f t="shared" si="3"/>
        <v>36</v>
      </c>
      <c r="M34" s="180">
        <f t="shared" si="4"/>
        <v>522.36</v>
      </c>
      <c r="N34" s="181"/>
      <c r="O34" s="182"/>
      <c r="P34" s="183"/>
    </row>
    <row r="35" spans="1:16" ht="15.6">
      <c r="A35" s="174" t="s">
        <v>540</v>
      </c>
      <c r="B35" s="184" t="s">
        <v>539</v>
      </c>
      <c r="C35" s="184" t="s">
        <v>537</v>
      </c>
      <c r="D35" s="175">
        <v>17.5</v>
      </c>
      <c r="E35" s="176">
        <f t="shared" si="6"/>
        <v>630</v>
      </c>
      <c r="F35" s="152"/>
      <c r="G35" s="153"/>
      <c r="H35" s="178">
        <f t="shared" si="1"/>
        <v>9141.2999999999993</v>
      </c>
      <c r="I35" s="218"/>
      <c r="K35" s="179">
        <f t="shared" si="2"/>
        <v>17.5</v>
      </c>
      <c r="L35" s="179">
        <f t="shared" si="3"/>
        <v>630</v>
      </c>
      <c r="M35" s="180">
        <f t="shared" si="4"/>
        <v>9141.2999999999993</v>
      </c>
      <c r="N35" s="181"/>
      <c r="O35" s="182"/>
      <c r="P35" s="183"/>
    </row>
    <row r="36" spans="1:16" ht="18.75" customHeight="1">
      <c r="A36" s="174" t="s">
        <v>506</v>
      </c>
      <c r="B36" s="184" t="s">
        <v>541</v>
      </c>
      <c r="C36" s="184" t="s">
        <v>542</v>
      </c>
      <c r="D36" s="175">
        <f>15/4</f>
        <v>3.75</v>
      </c>
      <c r="E36" s="176">
        <f t="shared" si="6"/>
        <v>135</v>
      </c>
      <c r="F36" s="152"/>
      <c r="G36" s="153"/>
      <c r="H36" s="178">
        <f t="shared" si="1"/>
        <v>1958.85</v>
      </c>
      <c r="I36" s="218"/>
      <c r="K36" s="179">
        <f t="shared" si="2"/>
        <v>3.75</v>
      </c>
      <c r="L36" s="179">
        <f t="shared" si="3"/>
        <v>135</v>
      </c>
      <c r="M36" s="180">
        <f t="shared" si="4"/>
        <v>1958.85</v>
      </c>
      <c r="N36" s="181"/>
      <c r="O36" s="182"/>
      <c r="P36" s="183"/>
    </row>
    <row r="37" spans="1:16" ht="18.75" customHeight="1">
      <c r="A37" s="174" t="s">
        <v>506</v>
      </c>
      <c r="B37" s="184" t="s">
        <v>509</v>
      </c>
      <c r="C37" s="184" t="s">
        <v>543</v>
      </c>
      <c r="D37" s="175">
        <v>1</v>
      </c>
      <c r="E37" s="176">
        <f t="shared" si="6"/>
        <v>36</v>
      </c>
      <c r="F37" s="152"/>
      <c r="G37" s="153"/>
      <c r="H37" s="178">
        <f t="shared" si="1"/>
        <v>522.36</v>
      </c>
      <c r="I37" s="218"/>
      <c r="K37" s="179">
        <f t="shared" si="2"/>
        <v>1</v>
      </c>
      <c r="L37" s="179">
        <f t="shared" si="3"/>
        <v>36</v>
      </c>
      <c r="M37" s="180">
        <f t="shared" si="4"/>
        <v>522.36</v>
      </c>
      <c r="N37" s="181"/>
      <c r="O37" s="182"/>
      <c r="P37" s="183"/>
    </row>
    <row r="38" spans="1:16" ht="15.6">
      <c r="A38" s="174" t="s">
        <v>511</v>
      </c>
      <c r="B38" s="184" t="s">
        <v>512</v>
      </c>
      <c r="C38" s="184" t="s">
        <v>544</v>
      </c>
      <c r="D38" s="175">
        <v>1.5</v>
      </c>
      <c r="E38" s="176">
        <f t="shared" si="6"/>
        <v>54</v>
      </c>
      <c r="H38" s="178">
        <f t="shared" si="1"/>
        <v>783.54</v>
      </c>
      <c r="K38" s="179">
        <f t="shared" si="2"/>
        <v>1.5</v>
      </c>
      <c r="L38" s="179">
        <f t="shared" si="3"/>
        <v>54</v>
      </c>
      <c r="M38" s="180">
        <f t="shared" si="4"/>
        <v>783.54</v>
      </c>
      <c r="N38" s="181"/>
      <c r="O38" s="182"/>
      <c r="P38" s="183"/>
    </row>
    <row r="39" spans="1:16" ht="15.6">
      <c r="A39" s="198" t="s">
        <v>514</v>
      </c>
      <c r="B39" s="199" t="s">
        <v>515</v>
      </c>
      <c r="C39" s="199" t="s">
        <v>161</v>
      </c>
      <c r="D39" s="200">
        <f>5/9</f>
        <v>0.55555555555555558</v>
      </c>
      <c r="E39" s="201">
        <f t="shared" si="6"/>
        <v>20</v>
      </c>
      <c r="F39" s="202"/>
      <c r="G39" s="203"/>
      <c r="H39" s="204">
        <f t="shared" si="1"/>
        <v>290.2</v>
      </c>
      <c r="I39" s="203"/>
      <c r="J39" s="203"/>
      <c r="K39" s="205">
        <f t="shared" si="2"/>
        <v>0.55555555555555558</v>
      </c>
      <c r="L39" s="205">
        <f t="shared" si="3"/>
        <v>20</v>
      </c>
      <c r="M39" s="206">
        <f t="shared" si="4"/>
        <v>290.2</v>
      </c>
      <c r="N39" s="207">
        <f>SUM(K32:K39)</f>
        <v>42.805555555555557</v>
      </c>
      <c r="O39" s="208">
        <f>SUM(L32:L39)</f>
        <v>1541</v>
      </c>
      <c r="P39" s="206">
        <f>SUM(M32:M39)</f>
        <v>22359.91</v>
      </c>
    </row>
    <row r="40" spans="1:16" ht="27.75" customHeight="1">
      <c r="A40" s="164" t="str">
        <f>'[2]Donna''s Sheet'!T2</f>
        <v>Roberts, L</v>
      </c>
      <c r="B40" s="165" t="s">
        <v>545</v>
      </c>
      <c r="C40" s="165" t="s">
        <v>546</v>
      </c>
      <c r="D40" s="166">
        <v>4.5</v>
      </c>
      <c r="E40" s="167">
        <f t="shared" si="6"/>
        <v>162</v>
      </c>
      <c r="F40" s="145"/>
      <c r="G40" s="146"/>
      <c r="H40" s="169">
        <f t="shared" si="1"/>
        <v>2350.62</v>
      </c>
      <c r="I40" s="146"/>
      <c r="J40" s="146"/>
      <c r="K40" s="170">
        <f t="shared" si="2"/>
        <v>4.5</v>
      </c>
      <c r="L40" s="170">
        <f t="shared" si="3"/>
        <v>162</v>
      </c>
      <c r="M40" s="171">
        <f t="shared" si="4"/>
        <v>2350.62</v>
      </c>
      <c r="N40" s="172"/>
      <c r="O40" s="173"/>
      <c r="P40" s="148"/>
    </row>
    <row r="41" spans="1:16" ht="15.6">
      <c r="A41" s="174" t="s">
        <v>547</v>
      </c>
      <c r="B41" s="184" t="s">
        <v>545</v>
      </c>
      <c r="C41" s="184" t="s">
        <v>546</v>
      </c>
      <c r="D41" s="175">
        <v>10.5</v>
      </c>
      <c r="E41" s="176">
        <f t="shared" si="6"/>
        <v>378</v>
      </c>
      <c r="H41" s="178">
        <f t="shared" si="1"/>
        <v>5484.78</v>
      </c>
      <c r="K41" s="179">
        <f t="shared" si="2"/>
        <v>10.5</v>
      </c>
      <c r="L41" s="179">
        <f t="shared" si="3"/>
        <v>378</v>
      </c>
      <c r="M41" s="180">
        <f t="shared" si="4"/>
        <v>5484.78</v>
      </c>
      <c r="N41" s="181"/>
      <c r="O41" s="182"/>
      <c r="P41" s="183"/>
    </row>
    <row r="42" spans="1:16" ht="15.6">
      <c r="A42" s="174" t="s">
        <v>504</v>
      </c>
      <c r="B42" s="184" t="s">
        <v>548</v>
      </c>
      <c r="C42" s="184" t="s">
        <v>546</v>
      </c>
      <c r="D42" s="175">
        <v>15</v>
      </c>
      <c r="E42" s="176">
        <f t="shared" si="6"/>
        <v>540</v>
      </c>
      <c r="H42" s="178">
        <f t="shared" si="1"/>
        <v>7835.4</v>
      </c>
      <c r="K42" s="179">
        <f t="shared" si="2"/>
        <v>15</v>
      </c>
      <c r="L42" s="179">
        <f t="shared" si="3"/>
        <v>540</v>
      </c>
      <c r="M42" s="180">
        <f t="shared" si="4"/>
        <v>7835.4</v>
      </c>
      <c r="N42" s="181"/>
      <c r="O42" s="182"/>
      <c r="P42" s="183"/>
    </row>
    <row r="43" spans="1:16" ht="15.6">
      <c r="A43" s="174" t="str">
        <f>'[2]Donna''s Sheet'!J2</f>
        <v>Garces, C</v>
      </c>
      <c r="B43" s="184" t="s">
        <v>549</v>
      </c>
      <c r="C43" s="184" t="s">
        <v>550</v>
      </c>
      <c r="D43" s="175">
        <f>12/3</f>
        <v>4</v>
      </c>
      <c r="E43" s="176">
        <f t="shared" si="6"/>
        <v>144</v>
      </c>
      <c r="H43" s="178">
        <f t="shared" si="1"/>
        <v>2089.44</v>
      </c>
      <c r="K43" s="179">
        <f t="shared" si="2"/>
        <v>4</v>
      </c>
      <c r="L43" s="179">
        <f t="shared" si="3"/>
        <v>144</v>
      </c>
      <c r="M43" s="180">
        <f t="shared" si="4"/>
        <v>2089.44</v>
      </c>
      <c r="N43" s="181"/>
      <c r="O43" s="182"/>
      <c r="P43" s="183"/>
    </row>
    <row r="44" spans="1:16" ht="15.6">
      <c r="A44" s="174" t="s">
        <v>506</v>
      </c>
      <c r="B44" s="184" t="s">
        <v>509</v>
      </c>
      <c r="C44" s="184" t="s">
        <v>551</v>
      </c>
      <c r="D44" s="175">
        <v>1</v>
      </c>
      <c r="E44" s="176">
        <f t="shared" si="6"/>
        <v>36</v>
      </c>
      <c r="H44" s="178">
        <f t="shared" si="1"/>
        <v>522.36</v>
      </c>
      <c r="K44" s="179">
        <f t="shared" si="2"/>
        <v>1</v>
      </c>
      <c r="L44" s="179">
        <f t="shared" si="3"/>
        <v>36</v>
      </c>
      <c r="M44" s="180">
        <f t="shared" si="4"/>
        <v>522.36</v>
      </c>
      <c r="N44" s="181"/>
      <c r="O44" s="182"/>
      <c r="P44" s="183"/>
    </row>
    <row r="45" spans="1:16" ht="15.6">
      <c r="A45" s="174" t="s">
        <v>511</v>
      </c>
      <c r="B45" s="184" t="s">
        <v>512</v>
      </c>
      <c r="C45" s="184" t="s">
        <v>552</v>
      </c>
      <c r="D45" s="175">
        <v>1.5</v>
      </c>
      <c r="E45" s="176">
        <f t="shared" si="6"/>
        <v>54</v>
      </c>
      <c r="H45" s="178">
        <f t="shared" si="1"/>
        <v>783.54</v>
      </c>
      <c r="K45" s="179">
        <f t="shared" si="2"/>
        <v>1.5</v>
      </c>
      <c r="L45" s="179">
        <f t="shared" si="3"/>
        <v>54</v>
      </c>
      <c r="M45" s="180">
        <f t="shared" si="4"/>
        <v>783.54</v>
      </c>
      <c r="N45" s="181"/>
      <c r="O45" s="182"/>
      <c r="P45" s="183"/>
    </row>
    <row r="46" spans="1:16" ht="15.6">
      <c r="A46" s="174" t="s">
        <v>514</v>
      </c>
      <c r="B46" s="184" t="s">
        <v>525</v>
      </c>
      <c r="C46" s="184" t="s">
        <v>525</v>
      </c>
      <c r="D46" s="175">
        <v>4</v>
      </c>
      <c r="E46" s="176">
        <f t="shared" si="6"/>
        <v>144</v>
      </c>
      <c r="H46" s="178">
        <f>E46*$H$4</f>
        <v>2089.44</v>
      </c>
      <c r="K46" s="179">
        <f t="shared" si="2"/>
        <v>4</v>
      </c>
      <c r="L46" s="179">
        <f t="shared" si="3"/>
        <v>144</v>
      </c>
      <c r="M46" s="180">
        <f t="shared" si="4"/>
        <v>2089.44</v>
      </c>
      <c r="N46" s="181"/>
      <c r="O46" s="182"/>
      <c r="P46" s="183"/>
    </row>
    <row r="47" spans="1:16" ht="15.6">
      <c r="A47" s="174" t="s">
        <v>553</v>
      </c>
      <c r="B47" s="184" t="s">
        <v>525</v>
      </c>
      <c r="C47" s="184" t="s">
        <v>525</v>
      </c>
      <c r="D47" s="175">
        <v>3</v>
      </c>
      <c r="E47" s="176">
        <f t="shared" si="6"/>
        <v>108</v>
      </c>
      <c r="H47" s="178">
        <f>E47*$H$4</f>
        <v>1567.08</v>
      </c>
      <c r="K47" s="179">
        <f t="shared" si="2"/>
        <v>3</v>
      </c>
      <c r="L47" s="179">
        <f t="shared" si="3"/>
        <v>108</v>
      </c>
      <c r="M47" s="180">
        <f t="shared" si="4"/>
        <v>1567.08</v>
      </c>
      <c r="N47" s="181"/>
      <c r="O47" s="182"/>
      <c r="P47" s="183"/>
    </row>
    <row r="48" spans="1:16" ht="15.6">
      <c r="A48" s="174" t="s">
        <v>554</v>
      </c>
      <c r="B48" s="184" t="s">
        <v>525</v>
      </c>
      <c r="C48" s="184" t="s">
        <v>525</v>
      </c>
      <c r="D48" s="175">
        <v>3</v>
      </c>
      <c r="E48" s="176">
        <f t="shared" si="6"/>
        <v>108</v>
      </c>
      <c r="H48" s="178">
        <f>E48*$H$4</f>
        <v>1567.08</v>
      </c>
      <c r="K48" s="179">
        <f t="shared" si="2"/>
        <v>3</v>
      </c>
      <c r="L48" s="179">
        <f t="shared" si="3"/>
        <v>108</v>
      </c>
      <c r="M48" s="180">
        <f t="shared" si="4"/>
        <v>1567.08</v>
      </c>
      <c r="N48" s="181"/>
      <c r="O48" s="182"/>
      <c r="P48" s="183"/>
    </row>
    <row r="49" spans="1:16" ht="15.6">
      <c r="A49" s="198" t="s">
        <v>514</v>
      </c>
      <c r="B49" s="199" t="s">
        <v>515</v>
      </c>
      <c r="C49" s="199" t="s">
        <v>161</v>
      </c>
      <c r="D49" s="200">
        <f>5/9</f>
        <v>0.55555555555555558</v>
      </c>
      <c r="E49" s="201">
        <f t="shared" si="6"/>
        <v>20</v>
      </c>
      <c r="F49" s="202"/>
      <c r="G49" s="203"/>
      <c r="H49" s="204">
        <f>E49*$H$4</f>
        <v>290.2</v>
      </c>
      <c r="I49" s="203"/>
      <c r="J49" s="203"/>
      <c r="K49" s="205">
        <f t="shared" si="2"/>
        <v>0.55555555555555558</v>
      </c>
      <c r="L49" s="205">
        <f t="shared" si="3"/>
        <v>20</v>
      </c>
      <c r="M49" s="206">
        <f t="shared" si="4"/>
        <v>290.2</v>
      </c>
      <c r="N49" s="207">
        <f>SUM(K40:K49)</f>
        <v>47.055555555555557</v>
      </c>
      <c r="O49" s="208">
        <f>SUM(L40:L49)</f>
        <v>1694</v>
      </c>
      <c r="P49" s="206">
        <f>SUM(M40:M49)</f>
        <v>24579.94</v>
      </c>
    </row>
    <row r="50" spans="1:16" ht="27.75" customHeight="1">
      <c r="A50" s="219" t="s">
        <v>538</v>
      </c>
      <c r="B50" s="165" t="s">
        <v>555</v>
      </c>
      <c r="C50" s="165" t="s">
        <v>556</v>
      </c>
      <c r="D50" s="166">
        <v>14</v>
      </c>
      <c r="E50" s="167">
        <f t="shared" si="6"/>
        <v>504</v>
      </c>
      <c r="F50" s="145"/>
      <c r="G50" s="146"/>
      <c r="H50" s="169">
        <f t="shared" si="1"/>
        <v>7313.04</v>
      </c>
      <c r="I50" s="146"/>
      <c r="J50" s="146"/>
      <c r="K50" s="170">
        <f t="shared" si="2"/>
        <v>14</v>
      </c>
      <c r="L50" s="170">
        <f t="shared" si="3"/>
        <v>504</v>
      </c>
      <c r="M50" s="171">
        <f t="shared" si="4"/>
        <v>7313.04</v>
      </c>
      <c r="N50" s="172"/>
      <c r="O50" s="173"/>
      <c r="P50" s="148"/>
    </row>
    <row r="51" spans="1:16" ht="19.5" customHeight="1">
      <c r="A51" s="174" t="s">
        <v>557</v>
      </c>
      <c r="B51" s="184" t="s">
        <v>558</v>
      </c>
      <c r="C51" s="184" t="s">
        <v>559</v>
      </c>
      <c r="D51" s="175">
        <v>3.5</v>
      </c>
      <c r="E51" s="176">
        <f t="shared" si="6"/>
        <v>126</v>
      </c>
      <c r="H51" s="178">
        <f t="shared" si="1"/>
        <v>1828.26</v>
      </c>
      <c r="K51" s="179">
        <f t="shared" si="2"/>
        <v>3.5</v>
      </c>
      <c r="L51" s="179">
        <f t="shared" si="3"/>
        <v>126</v>
      </c>
      <c r="M51" s="180">
        <f t="shared" si="4"/>
        <v>1828.26</v>
      </c>
      <c r="N51" s="181"/>
      <c r="O51" s="182"/>
      <c r="P51" s="183"/>
    </row>
    <row r="52" spans="1:16" ht="15.6">
      <c r="A52" s="174" t="s">
        <v>514</v>
      </c>
      <c r="B52" s="184" t="s">
        <v>549</v>
      </c>
      <c r="C52" s="184" t="s">
        <v>560</v>
      </c>
      <c r="D52" s="175">
        <v>4</v>
      </c>
      <c r="E52" s="176">
        <f t="shared" si="6"/>
        <v>144</v>
      </c>
      <c r="H52" s="178">
        <f t="shared" si="1"/>
        <v>2089.44</v>
      </c>
      <c r="K52" s="179">
        <f t="shared" si="2"/>
        <v>4</v>
      </c>
      <c r="L52" s="179">
        <f t="shared" si="3"/>
        <v>144</v>
      </c>
      <c r="M52" s="180">
        <f t="shared" si="4"/>
        <v>2089.44</v>
      </c>
      <c r="N52" s="181"/>
      <c r="O52" s="182"/>
      <c r="P52" s="183"/>
    </row>
    <row r="53" spans="1:16" ht="15.6">
      <c r="A53" s="174" t="s">
        <v>506</v>
      </c>
      <c r="B53" s="184" t="s">
        <v>509</v>
      </c>
      <c r="C53" s="184" t="s">
        <v>561</v>
      </c>
      <c r="D53" s="175">
        <v>1</v>
      </c>
      <c r="E53" s="176">
        <f t="shared" si="6"/>
        <v>36</v>
      </c>
      <c r="H53" s="178">
        <f t="shared" si="1"/>
        <v>522.36</v>
      </c>
      <c r="K53" s="179">
        <f t="shared" si="2"/>
        <v>1</v>
      </c>
      <c r="L53" s="179">
        <f t="shared" si="3"/>
        <v>36</v>
      </c>
      <c r="M53" s="180">
        <f t="shared" si="4"/>
        <v>522.36</v>
      </c>
      <c r="N53" s="181"/>
      <c r="O53" s="182"/>
      <c r="P53" s="183"/>
    </row>
    <row r="54" spans="1:16" ht="15.6">
      <c r="A54" s="174" t="s">
        <v>511</v>
      </c>
      <c r="B54" s="184" t="s">
        <v>512</v>
      </c>
      <c r="C54" s="184" t="s">
        <v>562</v>
      </c>
      <c r="D54" s="175">
        <v>1.5</v>
      </c>
      <c r="E54" s="176">
        <f t="shared" si="6"/>
        <v>54</v>
      </c>
      <c r="H54" s="178">
        <f t="shared" si="1"/>
        <v>783.54</v>
      </c>
      <c r="K54" s="179">
        <f t="shared" si="2"/>
        <v>1.5</v>
      </c>
      <c r="L54" s="179">
        <f t="shared" si="3"/>
        <v>54</v>
      </c>
      <c r="M54" s="180">
        <f t="shared" si="4"/>
        <v>783.54</v>
      </c>
      <c r="N54" s="181"/>
      <c r="O54" s="182"/>
      <c r="P54" s="183"/>
    </row>
    <row r="55" spans="1:16" ht="15.6">
      <c r="A55" s="174" t="s">
        <v>514</v>
      </c>
      <c r="B55" s="184" t="s">
        <v>515</v>
      </c>
      <c r="C55" s="184" t="s">
        <v>161</v>
      </c>
      <c r="D55" s="175">
        <f>5/9</f>
        <v>0.55555555555555558</v>
      </c>
      <c r="E55" s="176">
        <f t="shared" si="6"/>
        <v>20</v>
      </c>
      <c r="H55" s="178">
        <f t="shared" si="1"/>
        <v>290.2</v>
      </c>
      <c r="K55" s="179">
        <f t="shared" si="2"/>
        <v>0.55555555555555558</v>
      </c>
      <c r="L55" s="179">
        <f t="shared" si="3"/>
        <v>20</v>
      </c>
      <c r="M55" s="180">
        <f t="shared" si="4"/>
        <v>290.2</v>
      </c>
      <c r="N55" s="185">
        <f>SUM(K50:K55)</f>
        <v>24.555555555555557</v>
      </c>
      <c r="O55" s="186">
        <f>SUM(L50:L55)</f>
        <v>884</v>
      </c>
      <c r="P55" s="180">
        <f>SUM(M50:M55)</f>
        <v>12826.84</v>
      </c>
    </row>
    <row r="56" spans="1:16" ht="15.6">
      <c r="A56" s="220"/>
      <c r="D56" s="222"/>
      <c r="E56" s="176"/>
      <c r="H56" s="178">
        <f t="shared" si="1"/>
        <v>0</v>
      </c>
      <c r="K56" s="179"/>
      <c r="L56" s="223" t="s">
        <v>178</v>
      </c>
      <c r="M56" s="224" t="s">
        <v>178</v>
      </c>
      <c r="N56" s="225"/>
      <c r="O56" s="226"/>
      <c r="P56" s="183"/>
    </row>
    <row r="57" spans="1:16" ht="19.5" customHeight="1">
      <c r="A57" s="174" t="s">
        <v>557</v>
      </c>
      <c r="B57" s="184" t="s">
        <v>558</v>
      </c>
      <c r="C57" s="184" t="s">
        <v>563</v>
      </c>
      <c r="D57" s="175">
        <v>3.5</v>
      </c>
      <c r="E57" s="176">
        <f t="shared" ref="E57:E72" si="7">D57*36</f>
        <v>126</v>
      </c>
      <c r="H57" s="178">
        <f t="shared" si="1"/>
        <v>1828.26</v>
      </c>
      <c r="K57" s="179">
        <f t="shared" si="2"/>
        <v>3.5</v>
      </c>
      <c r="L57" s="179">
        <f t="shared" si="3"/>
        <v>126</v>
      </c>
      <c r="M57" s="180">
        <f t="shared" si="4"/>
        <v>1828.26</v>
      </c>
      <c r="N57" s="181"/>
      <c r="O57" s="182"/>
      <c r="P57" s="183"/>
    </row>
    <row r="58" spans="1:16" ht="15.6">
      <c r="A58" s="174" t="s">
        <v>514</v>
      </c>
      <c r="B58" s="184" t="s">
        <v>549</v>
      </c>
      <c r="C58" s="184" t="s">
        <v>564</v>
      </c>
      <c r="D58" s="175">
        <v>4</v>
      </c>
      <c r="E58" s="176">
        <f t="shared" si="7"/>
        <v>144</v>
      </c>
      <c r="H58" s="178">
        <f t="shared" si="1"/>
        <v>2089.44</v>
      </c>
      <c r="K58" s="179">
        <f t="shared" si="2"/>
        <v>4</v>
      </c>
      <c r="L58" s="179">
        <f t="shared" si="3"/>
        <v>144</v>
      </c>
      <c r="M58" s="180">
        <f t="shared" si="4"/>
        <v>2089.44</v>
      </c>
      <c r="N58" s="181"/>
      <c r="O58" s="182"/>
      <c r="P58" s="183"/>
    </row>
    <row r="59" spans="1:16" ht="17.25" customHeight="1">
      <c r="A59" s="174" t="s">
        <v>554</v>
      </c>
      <c r="B59" s="184" t="s">
        <v>565</v>
      </c>
      <c r="C59" s="184" t="s">
        <v>566</v>
      </c>
      <c r="D59" s="175">
        <v>7</v>
      </c>
      <c r="E59" s="176">
        <f t="shared" si="7"/>
        <v>252</v>
      </c>
      <c r="H59" s="178">
        <f t="shared" si="1"/>
        <v>3656.52</v>
      </c>
      <c r="K59" s="179">
        <f t="shared" si="2"/>
        <v>7</v>
      </c>
      <c r="L59" s="179">
        <f t="shared" si="3"/>
        <v>252</v>
      </c>
      <c r="M59" s="180">
        <f t="shared" si="4"/>
        <v>3656.52</v>
      </c>
      <c r="N59" s="181"/>
      <c r="O59" s="182"/>
      <c r="P59" s="183"/>
    </row>
    <row r="60" spans="1:16" ht="17.25" customHeight="1">
      <c r="A60" s="174" t="s">
        <v>421</v>
      </c>
      <c r="B60" s="184" t="s">
        <v>422</v>
      </c>
      <c r="C60" s="184" t="s">
        <v>423</v>
      </c>
      <c r="D60" s="175">
        <v>5</v>
      </c>
      <c r="E60" s="176">
        <f t="shared" si="7"/>
        <v>180</v>
      </c>
      <c r="H60" s="178">
        <f t="shared" si="1"/>
        <v>2611.8000000000002</v>
      </c>
      <c r="K60" s="179">
        <f t="shared" si="2"/>
        <v>5</v>
      </c>
      <c r="L60" s="179">
        <f t="shared" si="3"/>
        <v>180</v>
      </c>
      <c r="M60" s="180">
        <f t="shared" si="4"/>
        <v>2611.8000000000002</v>
      </c>
      <c r="N60" s="181"/>
      <c r="O60" s="182"/>
      <c r="P60" s="183"/>
    </row>
    <row r="61" spans="1:16" ht="15.6">
      <c r="A61" s="174" t="s">
        <v>553</v>
      </c>
      <c r="B61" s="184" t="s">
        <v>422</v>
      </c>
      <c r="C61" s="184" t="s">
        <v>423</v>
      </c>
      <c r="D61" s="175">
        <v>3</v>
      </c>
      <c r="E61" s="176">
        <f t="shared" si="7"/>
        <v>108</v>
      </c>
      <c r="H61" s="178">
        <f t="shared" si="1"/>
        <v>1567.08</v>
      </c>
      <c r="K61" s="179">
        <f t="shared" si="2"/>
        <v>3</v>
      </c>
      <c r="L61" s="179">
        <f t="shared" si="3"/>
        <v>108</v>
      </c>
      <c r="M61" s="180">
        <f t="shared" si="4"/>
        <v>1567.08</v>
      </c>
      <c r="N61" s="181"/>
      <c r="O61" s="182"/>
      <c r="P61" s="183"/>
    </row>
    <row r="62" spans="1:16" ht="15.6">
      <c r="A62" s="174" t="s">
        <v>506</v>
      </c>
      <c r="B62" s="184" t="s">
        <v>509</v>
      </c>
      <c r="C62" s="184" t="s">
        <v>424</v>
      </c>
      <c r="D62" s="175">
        <v>1</v>
      </c>
      <c r="E62" s="176">
        <f t="shared" si="7"/>
        <v>36</v>
      </c>
      <c r="H62" s="178">
        <f t="shared" si="1"/>
        <v>522.36</v>
      </c>
      <c r="K62" s="179">
        <f t="shared" si="2"/>
        <v>1</v>
      </c>
      <c r="L62" s="179">
        <f t="shared" si="3"/>
        <v>36</v>
      </c>
      <c r="M62" s="180">
        <f t="shared" si="4"/>
        <v>522.36</v>
      </c>
      <c r="N62" s="181"/>
      <c r="O62" s="182"/>
      <c r="P62" s="183"/>
    </row>
    <row r="63" spans="1:16" ht="15.6">
      <c r="A63" s="174" t="s">
        <v>511</v>
      </c>
      <c r="B63" s="184" t="s">
        <v>512</v>
      </c>
      <c r="C63" s="184" t="s">
        <v>562</v>
      </c>
      <c r="D63" s="175">
        <v>1.5</v>
      </c>
      <c r="E63" s="176">
        <f t="shared" si="7"/>
        <v>54</v>
      </c>
      <c r="H63" s="178">
        <f t="shared" si="1"/>
        <v>783.54</v>
      </c>
      <c r="K63" s="179">
        <f t="shared" si="2"/>
        <v>1.5</v>
      </c>
      <c r="L63" s="179">
        <f t="shared" si="3"/>
        <v>54</v>
      </c>
      <c r="M63" s="180">
        <f t="shared" si="4"/>
        <v>783.54</v>
      </c>
      <c r="N63" s="181"/>
      <c r="O63" s="182"/>
      <c r="P63" s="183"/>
    </row>
    <row r="64" spans="1:16" ht="15.6">
      <c r="A64" s="198" t="s">
        <v>514</v>
      </c>
      <c r="B64" s="199" t="s">
        <v>515</v>
      </c>
      <c r="C64" s="199" t="s">
        <v>161</v>
      </c>
      <c r="D64" s="200">
        <f>5/9</f>
        <v>0.55555555555555558</v>
      </c>
      <c r="E64" s="201">
        <f t="shared" si="7"/>
        <v>20</v>
      </c>
      <c r="F64" s="202"/>
      <c r="G64" s="203"/>
      <c r="H64" s="204">
        <f>E64*$H$4</f>
        <v>290.2</v>
      </c>
      <c r="I64" s="203"/>
      <c r="J64" s="203"/>
      <c r="K64" s="205">
        <f t="shared" si="2"/>
        <v>0.55555555555555558</v>
      </c>
      <c r="L64" s="205">
        <f t="shared" si="3"/>
        <v>20</v>
      </c>
      <c r="M64" s="206">
        <f t="shared" si="4"/>
        <v>290.2</v>
      </c>
      <c r="N64" s="207">
        <f>SUM(K57:K64)</f>
        <v>25.555555555555557</v>
      </c>
      <c r="O64" s="208">
        <f>SUM(L57:L64)</f>
        <v>920</v>
      </c>
      <c r="P64" s="206">
        <f>SUM(M57:M64)</f>
        <v>13349.2</v>
      </c>
    </row>
    <row r="65" spans="1:16" ht="17.25" customHeight="1">
      <c r="A65" s="164" t="s">
        <v>421</v>
      </c>
      <c r="B65" s="165" t="s">
        <v>422</v>
      </c>
      <c r="C65" s="165" t="s">
        <v>425</v>
      </c>
      <c r="D65" s="166">
        <v>5</v>
      </c>
      <c r="E65" s="167">
        <f t="shared" si="7"/>
        <v>180</v>
      </c>
      <c r="F65" s="145"/>
      <c r="G65" s="146"/>
      <c r="H65" s="169">
        <f t="shared" si="1"/>
        <v>2611.8000000000002</v>
      </c>
      <c r="I65" s="146"/>
      <c r="J65" s="146"/>
      <c r="K65" s="170">
        <f t="shared" si="2"/>
        <v>5</v>
      </c>
      <c r="L65" s="170">
        <f t="shared" si="3"/>
        <v>180</v>
      </c>
      <c r="M65" s="171">
        <f t="shared" si="4"/>
        <v>2611.8000000000002</v>
      </c>
      <c r="N65" s="181"/>
      <c r="O65" s="182"/>
      <c r="P65" s="183"/>
    </row>
    <row r="66" spans="1:16" ht="15.6">
      <c r="A66" s="216" t="s">
        <v>538</v>
      </c>
      <c r="B66" s="184" t="s">
        <v>426</v>
      </c>
      <c r="C66" s="184" t="s">
        <v>427</v>
      </c>
      <c r="D66" s="175">
        <f>5/2</f>
        <v>2.5</v>
      </c>
      <c r="E66" s="176">
        <f t="shared" si="7"/>
        <v>90</v>
      </c>
      <c r="H66" s="178">
        <f t="shared" si="1"/>
        <v>1305.9000000000001</v>
      </c>
      <c r="K66" s="179">
        <f t="shared" si="2"/>
        <v>2.5</v>
      </c>
      <c r="L66" s="179">
        <f t="shared" si="3"/>
        <v>90</v>
      </c>
      <c r="M66" s="180">
        <f t="shared" si="4"/>
        <v>1305.9000000000001</v>
      </c>
      <c r="N66" s="181"/>
      <c r="O66" s="182"/>
      <c r="P66" s="183"/>
    </row>
    <row r="67" spans="1:16" ht="15.6">
      <c r="A67" s="174" t="s">
        <v>554</v>
      </c>
      <c r="B67" s="184" t="s">
        <v>426</v>
      </c>
      <c r="C67" s="184" t="s">
        <v>427</v>
      </c>
      <c r="D67" s="175">
        <f>10/2</f>
        <v>5</v>
      </c>
      <c r="E67" s="176">
        <f t="shared" si="7"/>
        <v>180</v>
      </c>
      <c r="H67" s="178">
        <f>E67*$H$4</f>
        <v>2611.8000000000002</v>
      </c>
      <c r="K67" s="179">
        <f t="shared" si="2"/>
        <v>5</v>
      </c>
      <c r="L67" s="179">
        <f t="shared" si="3"/>
        <v>180</v>
      </c>
      <c r="M67" s="180">
        <f t="shared" si="4"/>
        <v>2611.8000000000002</v>
      </c>
      <c r="N67" s="181"/>
      <c r="O67" s="182"/>
      <c r="P67" s="183"/>
    </row>
    <row r="68" spans="1:16" ht="19.5" customHeight="1">
      <c r="A68" s="174" t="s">
        <v>557</v>
      </c>
      <c r="B68" s="184" t="s">
        <v>428</v>
      </c>
      <c r="C68" s="184" t="s">
        <v>429</v>
      </c>
      <c r="D68" s="175">
        <v>6</v>
      </c>
      <c r="E68" s="176">
        <f t="shared" si="7"/>
        <v>216</v>
      </c>
      <c r="H68" s="178">
        <f t="shared" si="1"/>
        <v>3134.16</v>
      </c>
      <c r="K68" s="179">
        <f t="shared" si="2"/>
        <v>6</v>
      </c>
      <c r="L68" s="179">
        <f t="shared" si="3"/>
        <v>216</v>
      </c>
      <c r="M68" s="180">
        <f t="shared" si="4"/>
        <v>3134.16</v>
      </c>
      <c r="N68" s="181"/>
      <c r="O68" s="182"/>
      <c r="P68" s="183"/>
    </row>
    <row r="69" spans="1:16" ht="15.6">
      <c r="A69" s="174" t="s">
        <v>557</v>
      </c>
      <c r="B69" s="184" t="s">
        <v>430</v>
      </c>
      <c r="C69" s="184" t="s">
        <v>431</v>
      </c>
      <c r="D69" s="175">
        <v>6</v>
      </c>
      <c r="E69" s="176">
        <f t="shared" si="7"/>
        <v>216</v>
      </c>
      <c r="H69" s="178">
        <f t="shared" si="1"/>
        <v>3134.16</v>
      </c>
      <c r="K69" s="179">
        <f t="shared" si="2"/>
        <v>6</v>
      </c>
      <c r="L69" s="179">
        <f t="shared" si="3"/>
        <v>216</v>
      </c>
      <c r="M69" s="180">
        <f t="shared" si="4"/>
        <v>3134.16</v>
      </c>
      <c r="N69" s="181"/>
      <c r="O69" s="182"/>
      <c r="P69" s="183"/>
    </row>
    <row r="70" spans="1:16" ht="15.6">
      <c r="A70" s="174" t="s">
        <v>506</v>
      </c>
      <c r="B70" s="184" t="s">
        <v>509</v>
      </c>
      <c r="C70" s="184" t="s">
        <v>432</v>
      </c>
      <c r="D70" s="175">
        <v>1</v>
      </c>
      <c r="E70" s="176">
        <f t="shared" si="7"/>
        <v>36</v>
      </c>
      <c r="H70" s="178">
        <f t="shared" si="1"/>
        <v>522.36</v>
      </c>
      <c r="K70" s="179">
        <f t="shared" ref="K70:K81" si="8">D70</f>
        <v>1</v>
      </c>
      <c r="L70" s="179">
        <f t="shared" ref="L70:L81" si="9">K70*36</f>
        <v>36</v>
      </c>
      <c r="M70" s="180">
        <f t="shared" ref="M70:M81" si="10">L70*$M$4</f>
        <v>522.36</v>
      </c>
      <c r="N70" s="181"/>
      <c r="O70" s="182"/>
      <c r="P70" s="183"/>
    </row>
    <row r="71" spans="1:16" ht="15.6">
      <c r="A71" s="174" t="s">
        <v>511</v>
      </c>
      <c r="B71" s="184" t="s">
        <v>512</v>
      </c>
      <c r="C71" s="184" t="s">
        <v>433</v>
      </c>
      <c r="D71" s="175">
        <v>1.5</v>
      </c>
      <c r="E71" s="176">
        <f t="shared" si="7"/>
        <v>54</v>
      </c>
      <c r="H71" s="178">
        <f t="shared" si="1"/>
        <v>783.54</v>
      </c>
      <c r="K71" s="179">
        <f t="shared" si="8"/>
        <v>1.5</v>
      </c>
      <c r="L71" s="179">
        <f t="shared" si="9"/>
        <v>54</v>
      </c>
      <c r="M71" s="180">
        <f t="shared" si="10"/>
        <v>783.54</v>
      </c>
      <c r="N71" s="181"/>
      <c r="O71" s="182"/>
      <c r="P71" s="183"/>
    </row>
    <row r="72" spans="1:16" ht="15.6">
      <c r="A72" s="174" t="s">
        <v>514</v>
      </c>
      <c r="B72" s="184" t="s">
        <v>515</v>
      </c>
      <c r="C72" s="184" t="s">
        <v>161</v>
      </c>
      <c r="D72" s="175">
        <f>5/9</f>
        <v>0.55555555555555558</v>
      </c>
      <c r="E72" s="176">
        <f t="shared" si="7"/>
        <v>20</v>
      </c>
      <c r="H72" s="178">
        <f t="shared" si="1"/>
        <v>290.2</v>
      </c>
      <c r="K72" s="179">
        <f t="shared" si="8"/>
        <v>0.55555555555555558</v>
      </c>
      <c r="L72" s="179">
        <f t="shared" si="9"/>
        <v>20</v>
      </c>
      <c r="M72" s="180">
        <f t="shared" si="10"/>
        <v>290.2</v>
      </c>
      <c r="N72" s="185">
        <f>SUM(K65:K72)</f>
        <v>27.555555555555557</v>
      </c>
      <c r="O72" s="186">
        <f>SUM(L65:L72)</f>
        <v>992</v>
      </c>
      <c r="P72" s="180">
        <f>SUM(M65:M72)</f>
        <v>14393.920000000002</v>
      </c>
    </row>
    <row r="73" spans="1:16" ht="15.6">
      <c r="A73" s="220"/>
      <c r="D73" s="222"/>
      <c r="E73" s="176"/>
      <c r="H73" s="178">
        <f t="shared" si="1"/>
        <v>0</v>
      </c>
      <c r="K73" s="223" t="s">
        <v>178</v>
      </c>
      <c r="L73" s="223" t="s">
        <v>178</v>
      </c>
      <c r="M73" s="224" t="s">
        <v>178</v>
      </c>
      <c r="N73" s="225"/>
      <c r="O73" s="226"/>
      <c r="P73" s="227" t="s">
        <v>178</v>
      </c>
    </row>
    <row r="74" spans="1:16" ht="15.6">
      <c r="A74" s="216" t="s">
        <v>538</v>
      </c>
      <c r="B74" s="184" t="s">
        <v>426</v>
      </c>
      <c r="C74" s="184" t="s">
        <v>434</v>
      </c>
      <c r="D74" s="175">
        <f>5/2</f>
        <v>2.5</v>
      </c>
      <c r="E74" s="176">
        <f t="shared" ref="E74:E81" si="11">D74*36</f>
        <v>90</v>
      </c>
      <c r="H74" s="178">
        <f t="shared" si="1"/>
        <v>1305.9000000000001</v>
      </c>
      <c r="K74" s="179">
        <f t="shared" si="8"/>
        <v>2.5</v>
      </c>
      <c r="L74" s="179">
        <f t="shared" si="9"/>
        <v>90</v>
      </c>
      <c r="M74" s="180">
        <f t="shared" si="10"/>
        <v>1305.9000000000001</v>
      </c>
      <c r="N74" s="181"/>
      <c r="O74" s="182"/>
      <c r="P74" s="183"/>
    </row>
    <row r="75" spans="1:16" ht="15.6">
      <c r="A75" s="174" t="s">
        <v>554</v>
      </c>
      <c r="B75" s="184" t="s">
        <v>426</v>
      </c>
      <c r="C75" s="184" t="s">
        <v>434</v>
      </c>
      <c r="D75" s="175">
        <f>10/2</f>
        <v>5</v>
      </c>
      <c r="E75" s="176">
        <f t="shared" si="11"/>
        <v>180</v>
      </c>
      <c r="H75" s="178">
        <f t="shared" si="1"/>
        <v>2611.8000000000002</v>
      </c>
      <c r="K75" s="179">
        <f t="shared" si="8"/>
        <v>5</v>
      </c>
      <c r="L75" s="179">
        <f t="shared" si="9"/>
        <v>180</v>
      </c>
      <c r="M75" s="180">
        <f t="shared" si="10"/>
        <v>2611.8000000000002</v>
      </c>
      <c r="N75" s="181"/>
      <c r="O75" s="182"/>
      <c r="P75" s="183"/>
    </row>
    <row r="76" spans="1:16" ht="17.25" customHeight="1">
      <c r="A76" s="174" t="s">
        <v>421</v>
      </c>
      <c r="B76" s="184" t="s">
        <v>435</v>
      </c>
      <c r="C76" s="184" t="s">
        <v>436</v>
      </c>
      <c r="D76" s="175">
        <v>7</v>
      </c>
      <c r="E76" s="176">
        <f t="shared" si="11"/>
        <v>252</v>
      </c>
      <c r="H76" s="178">
        <f t="shared" si="1"/>
        <v>3656.52</v>
      </c>
      <c r="K76" s="179">
        <f t="shared" si="8"/>
        <v>7</v>
      </c>
      <c r="L76" s="179">
        <f t="shared" si="9"/>
        <v>252</v>
      </c>
      <c r="M76" s="180">
        <f t="shared" si="10"/>
        <v>3656.52</v>
      </c>
      <c r="N76" s="181"/>
      <c r="O76" s="182"/>
      <c r="P76" s="183"/>
    </row>
    <row r="77" spans="1:16" ht="18" customHeight="1">
      <c r="A77" s="174" t="s">
        <v>557</v>
      </c>
      <c r="B77" s="184" t="s">
        <v>430</v>
      </c>
      <c r="C77" s="184" t="s">
        <v>437</v>
      </c>
      <c r="D77" s="175">
        <v>6</v>
      </c>
      <c r="E77" s="176">
        <f t="shared" si="11"/>
        <v>216</v>
      </c>
      <c r="H77" s="178">
        <f t="shared" si="1"/>
        <v>3134.16</v>
      </c>
      <c r="K77" s="179">
        <f t="shared" si="8"/>
        <v>6</v>
      </c>
      <c r="L77" s="179">
        <f t="shared" si="9"/>
        <v>216</v>
      </c>
      <c r="M77" s="180">
        <f t="shared" si="10"/>
        <v>3134.16</v>
      </c>
      <c r="N77" s="181"/>
      <c r="O77" s="182"/>
      <c r="P77" s="183"/>
    </row>
    <row r="78" spans="1:16" ht="14.25" customHeight="1">
      <c r="A78" s="174" t="s">
        <v>557</v>
      </c>
      <c r="B78" s="184" t="s">
        <v>428</v>
      </c>
      <c r="C78" s="184" t="s">
        <v>438</v>
      </c>
      <c r="D78" s="175">
        <v>6</v>
      </c>
      <c r="E78" s="176">
        <f t="shared" si="11"/>
        <v>216</v>
      </c>
      <c r="H78" s="178">
        <f t="shared" si="1"/>
        <v>3134.16</v>
      </c>
      <c r="K78" s="179">
        <f t="shared" si="8"/>
        <v>6</v>
      </c>
      <c r="L78" s="179">
        <f t="shared" si="9"/>
        <v>216</v>
      </c>
      <c r="M78" s="180">
        <f t="shared" si="10"/>
        <v>3134.16</v>
      </c>
      <c r="N78" s="181"/>
      <c r="O78" s="182"/>
      <c r="P78" s="183"/>
    </row>
    <row r="79" spans="1:16" ht="15.6">
      <c r="A79" s="174" t="s">
        <v>506</v>
      </c>
      <c r="B79" s="184" t="s">
        <v>509</v>
      </c>
      <c r="C79" s="184" t="s">
        <v>439</v>
      </c>
      <c r="D79" s="175">
        <v>1</v>
      </c>
      <c r="E79" s="176">
        <f t="shared" si="11"/>
        <v>36</v>
      </c>
      <c r="H79" s="178">
        <f t="shared" si="1"/>
        <v>522.36</v>
      </c>
      <c r="K79" s="179">
        <f t="shared" si="8"/>
        <v>1</v>
      </c>
      <c r="L79" s="179">
        <f t="shared" si="9"/>
        <v>36</v>
      </c>
      <c r="M79" s="180">
        <f t="shared" si="10"/>
        <v>522.36</v>
      </c>
      <c r="N79" s="181"/>
      <c r="O79" s="182"/>
      <c r="P79" s="183"/>
    </row>
    <row r="80" spans="1:16" ht="15.75" customHeight="1">
      <c r="A80" s="174" t="str">
        <f>'[2]Donna''s Sheet'!V2</f>
        <v>Warner, D</v>
      </c>
      <c r="B80" s="184" t="s">
        <v>512</v>
      </c>
      <c r="C80" s="184" t="s">
        <v>440</v>
      </c>
      <c r="D80" s="175">
        <v>1</v>
      </c>
      <c r="E80" s="176">
        <f t="shared" si="11"/>
        <v>36</v>
      </c>
      <c r="H80" s="178">
        <f>E80*$H$4</f>
        <v>522.36</v>
      </c>
      <c r="K80" s="179">
        <f t="shared" si="8"/>
        <v>1</v>
      </c>
      <c r="L80" s="179">
        <f t="shared" si="9"/>
        <v>36</v>
      </c>
      <c r="M80" s="180">
        <f t="shared" si="10"/>
        <v>522.36</v>
      </c>
      <c r="N80" s="181"/>
      <c r="O80" s="182"/>
      <c r="P80" s="183"/>
    </row>
    <row r="81" spans="1:16" ht="15.6">
      <c r="A81" s="198" t="s">
        <v>514</v>
      </c>
      <c r="B81" s="199" t="s">
        <v>515</v>
      </c>
      <c r="C81" s="199" t="s">
        <v>161</v>
      </c>
      <c r="D81" s="200">
        <f>5/9</f>
        <v>0.55555555555555558</v>
      </c>
      <c r="E81" s="201">
        <f t="shared" si="11"/>
        <v>20</v>
      </c>
      <c r="F81" s="202"/>
      <c r="G81" s="203"/>
      <c r="H81" s="204">
        <f>E81*$H$4</f>
        <v>290.2</v>
      </c>
      <c r="I81" s="203"/>
      <c r="J81" s="203"/>
      <c r="K81" s="205">
        <f t="shared" si="8"/>
        <v>0.55555555555555558</v>
      </c>
      <c r="L81" s="205">
        <f t="shared" si="9"/>
        <v>20</v>
      </c>
      <c r="M81" s="206">
        <f t="shared" si="10"/>
        <v>290.2</v>
      </c>
      <c r="N81" s="185">
        <f>SUM(K74:K81)</f>
        <v>29.055555555555557</v>
      </c>
      <c r="O81" s="186">
        <f>SUM(L74:L81)</f>
        <v>1046</v>
      </c>
      <c r="P81" s="180">
        <f>SUM(M74:M81)</f>
        <v>15177.460000000003</v>
      </c>
    </row>
    <row r="82" spans="1:16" s="239" customFormat="1" ht="30.75" customHeight="1">
      <c r="A82" s="228" t="s">
        <v>441</v>
      </c>
      <c r="B82" s="229"/>
      <c r="C82" s="229"/>
      <c r="D82" s="230">
        <f>SUM(D5:D81)</f>
        <v>448.49999999999989</v>
      </c>
      <c r="E82" s="231">
        <f>SUM(E15:E81)</f>
        <v>11419</v>
      </c>
      <c r="F82" s="232"/>
      <c r="G82" s="233"/>
      <c r="H82" s="233"/>
      <c r="I82" s="233"/>
      <c r="J82" s="233"/>
      <c r="K82" s="234">
        <f>SUM(K5:K81)</f>
        <v>436.9675925925925</v>
      </c>
      <c r="L82" s="235">
        <f>SUM(L5:L81)</f>
        <v>15730.833333333334</v>
      </c>
      <c r="M82" s="236">
        <f>SUM(M4:M81)</f>
        <v>228268.90166666656</v>
      </c>
      <c r="N82" s="237">
        <f>SUM(N5:N81)</f>
        <v>436.9675925925925</v>
      </c>
      <c r="O82" s="238">
        <f>SUM(O5:O81)</f>
        <v>17006.5</v>
      </c>
      <c r="P82" s="236">
        <f>SUM(P5:P81)</f>
        <v>246764.31500000003</v>
      </c>
    </row>
    <row r="83" spans="1:16" s="18" customFormat="1" ht="15.6">
      <c r="A83" s="240"/>
      <c r="B83" s="241"/>
      <c r="C83" s="241"/>
      <c r="F83" s="242"/>
    </row>
    <row r="84" spans="1:16" s="18" customFormat="1" ht="15.6">
      <c r="A84" s="240" t="s">
        <v>442</v>
      </c>
      <c r="B84" s="241"/>
      <c r="C84" s="241"/>
      <c r="F84" s="242"/>
    </row>
    <row r="85" spans="1:16" s="18" customFormat="1">
      <c r="A85" s="242"/>
      <c r="B85" s="241"/>
      <c r="C85" s="241"/>
      <c r="F85" s="242"/>
    </row>
    <row r="86" spans="1:16" s="18" customFormat="1">
      <c r="A86" s="243"/>
      <c r="B86" s="241"/>
      <c r="C86" s="241"/>
      <c r="F86" s="242"/>
    </row>
    <row r="87" spans="1:16" s="18" customFormat="1" ht="15.6">
      <c r="A87" s="240"/>
      <c r="B87" s="241"/>
      <c r="C87" s="241"/>
      <c r="F87" s="242"/>
    </row>
    <row r="88" spans="1:16" s="18" customFormat="1" ht="15.6">
      <c r="A88" s="240"/>
      <c r="B88" s="241"/>
      <c r="C88" s="241"/>
      <c r="F88" s="242"/>
    </row>
    <row r="89" spans="1:16" s="18" customFormat="1" ht="15.6">
      <c r="A89" s="240"/>
      <c r="B89" s="241"/>
      <c r="C89" s="241"/>
      <c r="F89" s="242"/>
    </row>
    <row r="90" spans="1:16" s="18" customFormat="1" ht="15.6">
      <c r="A90" s="240"/>
      <c r="B90" s="241"/>
      <c r="C90" s="241"/>
      <c r="F90" s="242"/>
    </row>
    <row r="91" spans="1:16" s="18" customFormat="1" ht="15.6">
      <c r="A91" s="240"/>
      <c r="B91" s="241"/>
      <c r="C91" s="241"/>
      <c r="F91" s="242"/>
    </row>
    <row r="92" spans="1:16" s="18" customFormat="1">
      <c r="A92" s="244"/>
      <c r="B92" s="241"/>
      <c r="C92" s="241"/>
      <c r="F92" s="242"/>
    </row>
    <row r="93" spans="1:16" s="18" customFormat="1">
      <c r="A93" s="244"/>
      <c r="B93" s="241"/>
      <c r="C93" s="241"/>
      <c r="F93" s="242"/>
    </row>
    <row r="94" spans="1:16" s="18" customFormat="1" ht="15.6">
      <c r="A94" s="240"/>
      <c r="B94" s="241"/>
      <c r="C94" s="241"/>
      <c r="F94" s="242"/>
    </row>
    <row r="95" spans="1:16" s="18" customFormat="1" ht="15.6">
      <c r="A95" s="240"/>
      <c r="B95" s="241"/>
      <c r="C95" s="241"/>
      <c r="F95" s="242"/>
    </row>
    <row r="96" spans="1:16" s="18" customFormat="1" ht="15.6">
      <c r="A96" s="240"/>
      <c r="B96" s="241"/>
      <c r="C96" s="241"/>
      <c r="F96" s="242"/>
    </row>
    <row r="97" spans="1:6" s="18" customFormat="1" ht="15.6">
      <c r="A97" s="240"/>
      <c r="B97" s="241"/>
      <c r="C97" s="241"/>
      <c r="F97" s="242"/>
    </row>
    <row r="98" spans="1:6" s="18" customFormat="1" ht="15.6">
      <c r="A98" s="240"/>
      <c r="B98" s="241"/>
      <c r="C98" s="241"/>
      <c r="F98" s="242"/>
    </row>
    <row r="99" spans="1:6" s="18" customFormat="1" ht="15.6">
      <c r="A99" s="240"/>
      <c r="B99" s="241"/>
      <c r="C99" s="241"/>
      <c r="F99" s="242"/>
    </row>
    <row r="100" spans="1:6" s="18" customFormat="1" ht="15.6">
      <c r="A100" s="240"/>
      <c r="B100" s="241"/>
      <c r="C100" s="241"/>
      <c r="F100" s="242"/>
    </row>
    <row r="101" spans="1:6" s="18" customFormat="1" ht="15.6">
      <c r="A101" s="240"/>
      <c r="B101" s="241"/>
      <c r="C101" s="241"/>
      <c r="F101" s="242"/>
    </row>
    <row r="102" spans="1:6" s="18" customFormat="1" ht="15.6">
      <c r="A102" s="240"/>
      <c r="B102" s="241"/>
      <c r="C102" s="241"/>
      <c r="F102" s="242"/>
    </row>
    <row r="103" spans="1:6" s="18" customFormat="1" ht="15.6">
      <c r="A103" s="240"/>
      <c r="B103" s="241"/>
      <c r="C103" s="241"/>
      <c r="F103" s="242"/>
    </row>
    <row r="104" spans="1:6" s="18" customFormat="1" ht="15.6">
      <c r="A104" s="240"/>
      <c r="B104" s="241"/>
      <c r="C104" s="241"/>
      <c r="F104" s="242"/>
    </row>
    <row r="105" spans="1:6" s="18" customFormat="1" ht="15.6">
      <c r="A105" s="240"/>
      <c r="B105" s="241"/>
      <c r="C105" s="241"/>
      <c r="F105" s="242"/>
    </row>
    <row r="106" spans="1:6" s="18" customFormat="1" ht="15.6">
      <c r="A106" s="240"/>
      <c r="B106" s="241"/>
      <c r="C106" s="241"/>
      <c r="F106" s="242"/>
    </row>
    <row r="107" spans="1:6" s="18" customFormat="1" ht="15.6">
      <c r="A107" s="240"/>
      <c r="B107" s="241"/>
      <c r="C107" s="241"/>
      <c r="F107" s="242"/>
    </row>
    <row r="108" spans="1:6" s="18" customFormat="1" ht="15.6">
      <c r="A108" s="240"/>
      <c r="B108" s="241"/>
      <c r="C108" s="241"/>
      <c r="F108" s="242"/>
    </row>
    <row r="109" spans="1:6" s="18" customFormat="1" ht="15.6">
      <c r="A109" s="240"/>
      <c r="B109" s="241"/>
      <c r="C109" s="241"/>
      <c r="F109" s="242"/>
    </row>
    <row r="110" spans="1:6" s="18" customFormat="1" ht="15.6">
      <c r="A110" s="240"/>
      <c r="B110" s="241"/>
      <c r="C110" s="241"/>
      <c r="F110" s="242"/>
    </row>
    <row r="111" spans="1:6" s="18" customFormat="1" ht="15.6">
      <c r="A111" s="240"/>
      <c r="B111" s="241"/>
      <c r="C111" s="241"/>
      <c r="F111" s="242"/>
    </row>
    <row r="112" spans="1:6" s="18" customFormat="1" ht="15.6">
      <c r="A112" s="240"/>
      <c r="B112" s="241"/>
      <c r="C112" s="241"/>
      <c r="F112" s="242"/>
    </row>
    <row r="113" spans="1:6" s="18" customFormat="1">
      <c r="B113" s="241"/>
      <c r="C113" s="241"/>
      <c r="F113" s="242"/>
    </row>
    <row r="114" spans="1:6" s="18" customFormat="1" ht="15.6">
      <c r="A114" s="240"/>
      <c r="B114" s="241"/>
      <c r="C114" s="241"/>
      <c r="F114" s="242"/>
    </row>
    <row r="115" spans="1:6" s="18" customFormat="1">
      <c r="A115" s="242"/>
      <c r="B115" s="241"/>
      <c r="C115" s="241"/>
      <c r="F115" s="242"/>
    </row>
    <row r="116" spans="1:6" s="18" customFormat="1" ht="15.6">
      <c r="A116" s="240"/>
      <c r="B116" s="241"/>
      <c r="C116" s="241"/>
      <c r="F116" s="242"/>
    </row>
    <row r="117" spans="1:6" s="18" customFormat="1" ht="15.6">
      <c r="A117" s="240"/>
      <c r="B117" s="241"/>
      <c r="C117" s="241"/>
      <c r="F117" s="242"/>
    </row>
    <row r="118" spans="1:6" s="18" customFormat="1" ht="15.6">
      <c r="A118" s="240"/>
      <c r="B118" s="241"/>
      <c r="C118" s="241"/>
      <c r="F118" s="242"/>
    </row>
    <row r="119" spans="1:6" s="18" customFormat="1" ht="15.6">
      <c r="A119" s="240"/>
      <c r="B119" s="241"/>
      <c r="C119" s="241"/>
      <c r="F119" s="242"/>
    </row>
    <row r="120" spans="1:6" s="18" customFormat="1" ht="15.6">
      <c r="A120" s="240"/>
      <c r="B120" s="241"/>
      <c r="C120" s="241"/>
      <c r="F120" s="242"/>
    </row>
    <row r="121" spans="1:6" s="18" customFormat="1" ht="15.6">
      <c r="A121" s="240"/>
      <c r="B121" s="241"/>
      <c r="C121" s="241"/>
      <c r="F121" s="242"/>
    </row>
    <row r="122" spans="1:6" s="18" customFormat="1" ht="15.6">
      <c r="A122" s="240"/>
      <c r="B122" s="241"/>
      <c r="C122" s="241"/>
      <c r="F122" s="242"/>
    </row>
    <row r="123" spans="1:6" s="18" customFormat="1" ht="15.6">
      <c r="A123" s="240"/>
      <c r="B123" s="241"/>
      <c r="C123" s="241"/>
      <c r="F123" s="242"/>
    </row>
    <row r="124" spans="1:6" s="18" customFormat="1" ht="15.6">
      <c r="A124" s="240"/>
      <c r="B124" s="241"/>
      <c r="C124" s="241"/>
      <c r="F124" s="242"/>
    </row>
    <row r="125" spans="1:6" s="18" customFormat="1" ht="15.6">
      <c r="A125" s="240"/>
      <c r="B125" s="241"/>
      <c r="C125" s="241"/>
      <c r="F125" s="242"/>
    </row>
    <row r="126" spans="1:6" s="18" customFormat="1" ht="15.6">
      <c r="A126" s="240"/>
      <c r="B126" s="241"/>
      <c r="C126" s="241"/>
      <c r="F126" s="242"/>
    </row>
    <row r="127" spans="1:6" s="18" customFormat="1">
      <c r="B127" s="241"/>
      <c r="C127" s="241"/>
      <c r="F127" s="242"/>
    </row>
    <row r="128" spans="1:6" s="18" customFormat="1">
      <c r="B128" s="241"/>
      <c r="C128" s="241"/>
      <c r="F128" s="242"/>
    </row>
    <row r="129" spans="2:6" s="18" customFormat="1">
      <c r="B129" s="241"/>
      <c r="C129" s="241"/>
      <c r="F129" s="242"/>
    </row>
    <row r="130" spans="2:6" s="18" customFormat="1">
      <c r="B130" s="241"/>
      <c r="C130" s="241"/>
      <c r="F130" s="242"/>
    </row>
    <row r="131" spans="2:6" s="18" customFormat="1">
      <c r="B131" s="241"/>
      <c r="C131" s="241"/>
      <c r="F131" s="242"/>
    </row>
    <row r="132" spans="2:6" s="18" customFormat="1">
      <c r="B132" s="241"/>
      <c r="C132" s="241"/>
      <c r="F132" s="242"/>
    </row>
    <row r="133" spans="2:6" s="18" customFormat="1">
      <c r="B133" s="241"/>
      <c r="C133" s="241"/>
      <c r="F133" s="242"/>
    </row>
    <row r="134" spans="2:6" s="18" customFormat="1">
      <c r="B134" s="241"/>
      <c r="C134" s="241"/>
      <c r="F134" s="242"/>
    </row>
    <row r="135" spans="2:6" s="18" customFormat="1">
      <c r="B135" s="241"/>
      <c r="C135" s="241"/>
      <c r="F135" s="242"/>
    </row>
    <row r="136" spans="2:6" s="18" customFormat="1">
      <c r="B136" s="241"/>
      <c r="C136" s="241"/>
      <c r="F136" s="242"/>
    </row>
    <row r="137" spans="2:6" s="18" customFormat="1">
      <c r="B137" s="241"/>
      <c r="C137" s="241"/>
      <c r="F137" s="242"/>
    </row>
    <row r="138" spans="2:6" s="18" customFormat="1">
      <c r="B138" s="241"/>
      <c r="C138" s="241"/>
      <c r="F138" s="242"/>
    </row>
    <row r="139" spans="2:6" s="18" customFormat="1">
      <c r="B139" s="241"/>
      <c r="C139" s="241"/>
      <c r="F139" s="242"/>
    </row>
    <row r="140" spans="2:6" s="18" customFormat="1">
      <c r="B140" s="241"/>
      <c r="C140" s="241"/>
      <c r="F140" s="242"/>
    </row>
    <row r="141" spans="2:6" s="18" customFormat="1">
      <c r="B141" s="241"/>
      <c r="C141" s="241"/>
      <c r="F141" s="242"/>
    </row>
    <row r="142" spans="2:6" s="18" customFormat="1">
      <c r="B142" s="241"/>
      <c r="C142" s="241"/>
      <c r="F142" s="242"/>
    </row>
    <row r="143" spans="2:6" s="18" customFormat="1">
      <c r="B143" s="241"/>
      <c r="C143" s="241"/>
      <c r="F143" s="242"/>
    </row>
    <row r="144" spans="2:6" s="18" customFormat="1">
      <c r="B144" s="241"/>
      <c r="C144" s="241"/>
      <c r="F144" s="242"/>
    </row>
    <row r="145" spans="2:6" s="18" customFormat="1">
      <c r="B145" s="241"/>
      <c r="C145" s="241"/>
      <c r="F145" s="242"/>
    </row>
    <row r="146" spans="2:6" s="18" customFormat="1">
      <c r="B146" s="241"/>
      <c r="C146" s="241"/>
      <c r="F146" s="242"/>
    </row>
    <row r="147" spans="2:6" s="18" customFormat="1">
      <c r="B147" s="241"/>
      <c r="C147" s="241"/>
      <c r="F147" s="242"/>
    </row>
    <row r="148" spans="2:6" s="18" customFormat="1">
      <c r="B148" s="241"/>
      <c r="C148" s="241"/>
      <c r="F148" s="242"/>
    </row>
    <row r="149" spans="2:6" s="18" customFormat="1">
      <c r="B149" s="241"/>
      <c r="C149" s="241"/>
      <c r="F149" s="242"/>
    </row>
    <row r="150" spans="2:6" s="18" customFormat="1">
      <c r="B150" s="241"/>
      <c r="C150" s="241"/>
      <c r="F150" s="242"/>
    </row>
    <row r="151" spans="2:6" s="18" customFormat="1">
      <c r="B151" s="241"/>
      <c r="C151" s="241"/>
      <c r="F151" s="242"/>
    </row>
    <row r="152" spans="2:6" s="18" customFormat="1">
      <c r="B152" s="241"/>
      <c r="C152" s="241"/>
      <c r="F152" s="242"/>
    </row>
    <row r="153" spans="2:6" s="18" customFormat="1">
      <c r="B153" s="241"/>
      <c r="C153" s="241"/>
      <c r="F153" s="242"/>
    </row>
    <row r="154" spans="2:6" s="18" customFormat="1">
      <c r="B154" s="241"/>
      <c r="C154" s="241"/>
      <c r="F154" s="242"/>
    </row>
    <row r="155" spans="2:6" s="18" customFormat="1">
      <c r="B155" s="241"/>
      <c r="C155" s="241"/>
      <c r="F155" s="242"/>
    </row>
    <row r="156" spans="2:6" s="18" customFormat="1">
      <c r="B156" s="241"/>
      <c r="C156" s="241"/>
      <c r="F156" s="242"/>
    </row>
    <row r="157" spans="2:6" s="18" customFormat="1">
      <c r="B157" s="241"/>
      <c r="C157" s="241"/>
      <c r="F157" s="242"/>
    </row>
    <row r="158" spans="2:6" s="18" customFormat="1">
      <c r="B158" s="241"/>
      <c r="C158" s="241"/>
      <c r="F158" s="242"/>
    </row>
    <row r="159" spans="2:6" s="18" customFormat="1">
      <c r="B159" s="241"/>
      <c r="C159" s="241"/>
      <c r="F159" s="242"/>
    </row>
    <row r="160" spans="2:6" s="18" customFormat="1">
      <c r="B160" s="241"/>
      <c r="C160" s="241"/>
      <c r="F160" s="242"/>
    </row>
    <row r="161" spans="2:6" s="18" customFormat="1">
      <c r="B161" s="241"/>
      <c r="C161" s="241"/>
      <c r="F161" s="242"/>
    </row>
    <row r="162" spans="2:6" s="18" customFormat="1">
      <c r="B162" s="241"/>
      <c r="C162" s="241"/>
      <c r="F162" s="242"/>
    </row>
    <row r="163" spans="2:6" s="18" customFormat="1">
      <c r="B163" s="241"/>
      <c r="C163" s="241"/>
      <c r="F163" s="242"/>
    </row>
    <row r="164" spans="2:6" s="18" customFormat="1">
      <c r="B164" s="241"/>
      <c r="C164" s="241"/>
      <c r="F164" s="242"/>
    </row>
    <row r="165" spans="2:6" s="18" customFormat="1">
      <c r="B165" s="241"/>
      <c r="C165" s="241"/>
      <c r="F165" s="242"/>
    </row>
    <row r="166" spans="2:6" s="18" customFormat="1">
      <c r="B166" s="241"/>
      <c r="C166" s="241"/>
      <c r="F166" s="242"/>
    </row>
    <row r="167" spans="2:6" s="18" customFormat="1">
      <c r="B167" s="241"/>
      <c r="C167" s="241"/>
      <c r="F167" s="242"/>
    </row>
    <row r="168" spans="2:6" s="18" customFormat="1">
      <c r="B168" s="241"/>
      <c r="C168" s="241"/>
      <c r="F168" s="242"/>
    </row>
    <row r="169" spans="2:6" s="18" customFormat="1">
      <c r="B169" s="241"/>
      <c r="C169" s="241"/>
      <c r="F169" s="242"/>
    </row>
    <row r="170" spans="2:6" s="18" customFormat="1">
      <c r="B170" s="241"/>
      <c r="C170" s="241"/>
      <c r="F170" s="242"/>
    </row>
    <row r="171" spans="2:6" s="18" customFormat="1">
      <c r="B171" s="241"/>
      <c r="C171" s="241"/>
      <c r="F171" s="242"/>
    </row>
    <row r="172" spans="2:6" s="18" customFormat="1">
      <c r="B172" s="241"/>
      <c r="C172" s="241"/>
      <c r="F172" s="242"/>
    </row>
    <row r="173" spans="2:6" s="18" customFormat="1">
      <c r="B173" s="241"/>
      <c r="C173" s="241"/>
      <c r="F173" s="242"/>
    </row>
    <row r="174" spans="2:6" s="18" customFormat="1">
      <c r="B174" s="241"/>
      <c r="C174" s="241"/>
      <c r="F174" s="242"/>
    </row>
    <row r="175" spans="2:6" s="18" customFormat="1">
      <c r="B175" s="241"/>
      <c r="C175" s="241"/>
      <c r="F175" s="242"/>
    </row>
    <row r="176" spans="2:6" s="18" customFormat="1">
      <c r="B176" s="241"/>
      <c r="C176" s="241"/>
      <c r="F176" s="242"/>
    </row>
    <row r="177" spans="2:6" s="18" customFormat="1">
      <c r="B177" s="241"/>
      <c r="C177" s="241"/>
      <c r="F177" s="242"/>
    </row>
    <row r="178" spans="2:6" s="18" customFormat="1">
      <c r="B178" s="241"/>
      <c r="C178" s="241"/>
      <c r="F178" s="242"/>
    </row>
    <row r="179" spans="2:6" s="18" customFormat="1">
      <c r="B179" s="241"/>
      <c r="C179" s="241"/>
      <c r="F179" s="242"/>
    </row>
    <row r="180" spans="2:6" s="18" customFormat="1">
      <c r="B180" s="241"/>
      <c r="C180" s="241"/>
      <c r="F180" s="242"/>
    </row>
    <row r="181" spans="2:6" s="18" customFormat="1">
      <c r="B181" s="241"/>
      <c r="C181" s="241"/>
      <c r="F181" s="242"/>
    </row>
    <row r="182" spans="2:6" s="18" customFormat="1">
      <c r="B182" s="241"/>
      <c r="C182" s="241"/>
      <c r="F182" s="242"/>
    </row>
    <row r="183" spans="2:6" s="18" customFormat="1">
      <c r="B183" s="241"/>
      <c r="C183" s="241"/>
      <c r="F183" s="242"/>
    </row>
    <row r="184" spans="2:6" s="18" customFormat="1">
      <c r="B184" s="241"/>
      <c r="C184" s="241"/>
      <c r="F184" s="242"/>
    </row>
    <row r="185" spans="2:6" s="18" customFormat="1">
      <c r="B185" s="241"/>
      <c r="C185" s="241"/>
      <c r="F185" s="242"/>
    </row>
    <row r="186" spans="2:6" s="18" customFormat="1">
      <c r="B186" s="241"/>
      <c r="C186" s="241"/>
      <c r="F186" s="242"/>
    </row>
    <row r="187" spans="2:6" s="18" customFormat="1">
      <c r="B187" s="241"/>
      <c r="C187" s="241"/>
      <c r="F187" s="242"/>
    </row>
    <row r="188" spans="2:6" s="18" customFormat="1">
      <c r="B188" s="241"/>
      <c r="C188" s="241"/>
      <c r="F188" s="242"/>
    </row>
    <row r="189" spans="2:6" s="18" customFormat="1">
      <c r="B189" s="241"/>
      <c r="C189" s="241"/>
      <c r="F189" s="242"/>
    </row>
    <row r="190" spans="2:6" s="18" customFormat="1">
      <c r="B190" s="241"/>
      <c r="C190" s="241"/>
      <c r="F190" s="242"/>
    </row>
    <row r="191" spans="2:6" s="18" customFormat="1">
      <c r="B191" s="241"/>
      <c r="C191" s="241"/>
      <c r="F191" s="242"/>
    </row>
    <row r="192" spans="2:6" s="18" customFormat="1">
      <c r="B192" s="241"/>
      <c r="C192" s="241"/>
      <c r="F192" s="242"/>
    </row>
    <row r="193" spans="2:6" s="18" customFormat="1">
      <c r="B193" s="241"/>
      <c r="C193" s="241"/>
      <c r="F193" s="242"/>
    </row>
    <row r="194" spans="2:6" s="18" customFormat="1">
      <c r="B194" s="241"/>
      <c r="C194" s="241"/>
      <c r="F194" s="242"/>
    </row>
    <row r="195" spans="2:6" s="18" customFormat="1">
      <c r="B195" s="241"/>
      <c r="C195" s="241"/>
      <c r="F195" s="242"/>
    </row>
    <row r="196" spans="2:6" s="18" customFormat="1">
      <c r="B196" s="241"/>
      <c r="C196" s="241"/>
      <c r="F196" s="242"/>
    </row>
    <row r="197" spans="2:6" s="18" customFormat="1">
      <c r="B197" s="241"/>
      <c r="C197" s="241"/>
      <c r="F197" s="242"/>
    </row>
    <row r="198" spans="2:6" s="18" customFormat="1">
      <c r="B198" s="241"/>
      <c r="C198" s="241"/>
      <c r="F198" s="242"/>
    </row>
    <row r="199" spans="2:6" s="18" customFormat="1">
      <c r="B199" s="241"/>
      <c r="C199" s="241"/>
      <c r="F199" s="242"/>
    </row>
    <row r="200" spans="2:6" s="18" customFormat="1">
      <c r="B200" s="241"/>
      <c r="C200" s="241"/>
      <c r="F200" s="242"/>
    </row>
    <row r="201" spans="2:6" s="18" customFormat="1">
      <c r="B201" s="241"/>
      <c r="C201" s="241"/>
      <c r="F201" s="242"/>
    </row>
    <row r="202" spans="2:6" s="18" customFormat="1">
      <c r="B202" s="241"/>
      <c r="C202" s="241"/>
      <c r="F202" s="242"/>
    </row>
    <row r="203" spans="2:6" s="18" customFormat="1">
      <c r="B203" s="241"/>
      <c r="C203" s="241"/>
      <c r="F203" s="242"/>
    </row>
    <row r="204" spans="2:6" s="18" customFormat="1">
      <c r="B204" s="241"/>
      <c r="C204" s="241"/>
      <c r="F204" s="242"/>
    </row>
    <row r="205" spans="2:6" s="18" customFormat="1">
      <c r="B205" s="241"/>
      <c r="C205" s="241"/>
      <c r="F205" s="242"/>
    </row>
    <row r="206" spans="2:6" s="18" customFormat="1">
      <c r="B206" s="241"/>
      <c r="C206" s="241"/>
      <c r="F206" s="242"/>
    </row>
    <row r="207" spans="2:6" s="18" customFormat="1">
      <c r="B207" s="241"/>
      <c r="C207" s="241"/>
      <c r="F207" s="242"/>
    </row>
    <row r="208" spans="2:6" s="18" customFormat="1">
      <c r="B208" s="241"/>
      <c r="C208" s="241"/>
      <c r="F208" s="242"/>
    </row>
    <row r="209" spans="2:6" s="18" customFormat="1">
      <c r="B209" s="241"/>
      <c r="C209" s="241"/>
      <c r="F209" s="242"/>
    </row>
    <row r="210" spans="2:6" s="18" customFormat="1">
      <c r="B210" s="241"/>
      <c r="C210" s="241"/>
      <c r="F210" s="242"/>
    </row>
    <row r="211" spans="2:6" s="18" customFormat="1">
      <c r="B211" s="241"/>
      <c r="C211" s="241"/>
      <c r="F211" s="242"/>
    </row>
    <row r="212" spans="2:6" s="18" customFormat="1">
      <c r="B212" s="241"/>
      <c r="C212" s="241"/>
      <c r="F212" s="242"/>
    </row>
    <row r="213" spans="2:6" s="18" customFormat="1">
      <c r="B213" s="241"/>
      <c r="C213" s="241"/>
      <c r="F213" s="242"/>
    </row>
  </sheetData>
  <mergeCells count="17">
    <mergeCell ref="D1:E1"/>
    <mergeCell ref="K1:M1"/>
    <mergeCell ref="B2:B3"/>
    <mergeCell ref="C2:C3"/>
    <mergeCell ref="D2:D3"/>
    <mergeCell ref="E2:E3"/>
    <mergeCell ref="G2:G3"/>
    <mergeCell ref="H2:H3"/>
    <mergeCell ref="J2:J3"/>
    <mergeCell ref="K2:K3"/>
    <mergeCell ref="L2:L3"/>
    <mergeCell ref="M2:M3"/>
    <mergeCell ref="N2:P3"/>
    <mergeCell ref="B6:B7"/>
    <mergeCell ref="C6:C7"/>
    <mergeCell ref="B23:B24"/>
    <mergeCell ref="C23:C24"/>
  </mergeCells>
  <phoneticPr fontId="97"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8"/>
  <sheetViews>
    <sheetView workbookViewId="0"/>
    <sheetView workbookViewId="1"/>
  </sheetViews>
  <sheetFormatPr defaultColWidth="8.88671875" defaultRowHeight="14.4"/>
  <cols>
    <col min="1" max="1" width="32.109375" customWidth="1"/>
    <col min="2" max="2" width="22.88671875" style="309" customWidth="1"/>
    <col min="3" max="3" width="24.109375" bestFit="1" customWidth="1"/>
    <col min="4" max="4" width="23.109375" customWidth="1"/>
  </cols>
  <sheetData>
    <row r="1" spans="1:4">
      <c r="A1" t="s">
        <v>583</v>
      </c>
    </row>
    <row r="2" spans="1:4">
      <c r="B2" s="309" t="s">
        <v>581</v>
      </c>
      <c r="C2" t="s">
        <v>584</v>
      </c>
      <c r="D2" t="s">
        <v>181</v>
      </c>
    </row>
    <row r="3" spans="1:4">
      <c r="A3" s="308">
        <v>40429</v>
      </c>
      <c r="B3" s="309">
        <v>1</v>
      </c>
    </row>
    <row r="4" spans="1:4">
      <c r="A4" s="308">
        <v>40430</v>
      </c>
      <c r="B4" s="309" t="s">
        <v>582</v>
      </c>
    </row>
    <row r="5" spans="1:4">
      <c r="A5" s="308">
        <v>40431</v>
      </c>
      <c r="B5" s="309" t="s">
        <v>582</v>
      </c>
    </row>
    <row r="6" spans="1:4">
      <c r="A6" s="308">
        <v>40432</v>
      </c>
      <c r="B6" s="309" t="s">
        <v>582</v>
      </c>
    </row>
    <row r="7" spans="1:4">
      <c r="A7" s="308">
        <v>40433</v>
      </c>
      <c r="B7" s="309" t="s">
        <v>582</v>
      </c>
    </row>
    <row r="8" spans="1:4">
      <c r="A8" s="308">
        <v>40434</v>
      </c>
      <c r="B8" s="309">
        <v>2</v>
      </c>
    </row>
    <row r="9" spans="1:4">
      <c r="A9" s="308">
        <v>40435</v>
      </c>
      <c r="B9" s="309">
        <v>3</v>
      </c>
    </row>
    <row r="10" spans="1:4">
      <c r="A10" s="308">
        <v>40436</v>
      </c>
      <c r="B10" s="309">
        <v>4</v>
      </c>
    </row>
    <row r="11" spans="1:4">
      <c r="A11" s="308">
        <v>40437</v>
      </c>
      <c r="B11" s="309">
        <v>5</v>
      </c>
    </row>
    <row r="12" spans="1:4">
      <c r="A12" s="308">
        <v>40438</v>
      </c>
      <c r="B12" s="309">
        <v>6</v>
      </c>
    </row>
    <row r="13" spans="1:4">
      <c r="A13" s="308">
        <v>40439</v>
      </c>
      <c r="B13" s="309" t="s">
        <v>582</v>
      </c>
    </row>
    <row r="14" spans="1:4">
      <c r="A14" s="308">
        <v>40440</v>
      </c>
      <c r="B14" s="309" t="s">
        <v>582</v>
      </c>
    </row>
    <row r="15" spans="1:4">
      <c r="A15" s="308">
        <v>40441</v>
      </c>
      <c r="B15" s="309">
        <v>7</v>
      </c>
    </row>
    <row r="16" spans="1:4">
      <c r="A16" s="308">
        <v>40442</v>
      </c>
      <c r="B16" s="309">
        <v>8</v>
      </c>
    </row>
    <row r="17" spans="1:2">
      <c r="A17" s="308">
        <v>40443</v>
      </c>
      <c r="B17" s="309">
        <v>9</v>
      </c>
    </row>
    <row r="18" spans="1:2">
      <c r="A18" s="308">
        <v>40444</v>
      </c>
      <c r="B18" s="309">
        <v>10</v>
      </c>
    </row>
    <row r="19" spans="1:2">
      <c r="A19" s="308">
        <v>40445</v>
      </c>
      <c r="B19" s="309">
        <v>11</v>
      </c>
    </row>
    <row r="20" spans="1:2">
      <c r="A20" s="308">
        <v>40446</v>
      </c>
      <c r="B20" s="309" t="s">
        <v>582</v>
      </c>
    </row>
    <row r="21" spans="1:2">
      <c r="A21" s="308">
        <v>40447</v>
      </c>
      <c r="B21" s="309" t="s">
        <v>582</v>
      </c>
    </row>
    <row r="22" spans="1:2">
      <c r="A22" s="308">
        <v>40448</v>
      </c>
      <c r="B22" s="309">
        <v>12</v>
      </c>
    </row>
    <row r="23" spans="1:2">
      <c r="A23" s="308">
        <v>40449</v>
      </c>
      <c r="B23" s="309">
        <v>13</v>
      </c>
    </row>
    <row r="24" spans="1:2">
      <c r="A24" s="308">
        <v>40450</v>
      </c>
      <c r="B24" s="309">
        <v>14</v>
      </c>
    </row>
    <row r="25" spans="1:2">
      <c r="A25" s="308">
        <v>40451</v>
      </c>
      <c r="B25" s="309">
        <v>15</v>
      </c>
    </row>
    <row r="26" spans="1:2">
      <c r="A26" s="308">
        <v>40452</v>
      </c>
      <c r="B26" s="309">
        <v>16</v>
      </c>
    </row>
    <row r="27" spans="1:2">
      <c r="A27" s="308">
        <v>40453</v>
      </c>
      <c r="B27" s="309" t="s">
        <v>582</v>
      </c>
    </row>
    <row r="28" spans="1:2">
      <c r="A28" s="308">
        <v>40454</v>
      </c>
      <c r="B28" s="309" t="s">
        <v>582</v>
      </c>
    </row>
    <row r="29" spans="1:2">
      <c r="A29" s="308">
        <v>40455</v>
      </c>
      <c r="B29" s="309">
        <v>17</v>
      </c>
    </row>
    <row r="30" spans="1:2">
      <c r="A30" s="308">
        <v>40456</v>
      </c>
      <c r="B30" s="309">
        <v>18</v>
      </c>
    </row>
    <row r="31" spans="1:2">
      <c r="A31" s="308">
        <v>40457</v>
      </c>
      <c r="B31" s="309">
        <v>19</v>
      </c>
    </row>
    <row r="32" spans="1:2">
      <c r="A32" s="308">
        <v>40458</v>
      </c>
      <c r="B32" s="309">
        <v>20</v>
      </c>
    </row>
    <row r="33" spans="1:2">
      <c r="A33" s="308">
        <v>40459</v>
      </c>
      <c r="B33" s="309">
        <v>21</v>
      </c>
    </row>
    <row r="34" spans="1:2">
      <c r="A34" s="308">
        <v>40460</v>
      </c>
      <c r="B34" s="309" t="s">
        <v>582</v>
      </c>
    </row>
    <row r="35" spans="1:2">
      <c r="A35" s="308">
        <v>40461</v>
      </c>
      <c r="B35" s="309" t="s">
        <v>582</v>
      </c>
    </row>
    <row r="36" spans="1:2">
      <c r="A36" s="308">
        <v>40462</v>
      </c>
      <c r="B36" s="309" t="s">
        <v>582</v>
      </c>
    </row>
    <row r="37" spans="1:2">
      <c r="A37" s="308">
        <v>40463</v>
      </c>
      <c r="B37" s="309">
        <v>22</v>
      </c>
    </row>
    <row r="38" spans="1:2">
      <c r="A38" s="308">
        <v>40464</v>
      </c>
      <c r="B38" s="309">
        <v>23</v>
      </c>
    </row>
    <row r="39" spans="1:2">
      <c r="A39" s="308">
        <v>40465</v>
      </c>
      <c r="B39" s="309">
        <v>24</v>
      </c>
    </row>
    <row r="40" spans="1:2">
      <c r="A40" s="308">
        <v>40466</v>
      </c>
      <c r="B40" s="309">
        <v>25</v>
      </c>
    </row>
    <row r="41" spans="1:2">
      <c r="A41" s="308">
        <v>40467</v>
      </c>
      <c r="B41" s="309" t="s">
        <v>582</v>
      </c>
    </row>
    <row r="42" spans="1:2">
      <c r="A42" s="308">
        <v>40468</v>
      </c>
      <c r="B42" s="309" t="s">
        <v>582</v>
      </c>
    </row>
    <row r="43" spans="1:2">
      <c r="A43" s="308">
        <v>40469</v>
      </c>
      <c r="B43" s="309">
        <v>26</v>
      </c>
    </row>
    <row r="44" spans="1:2">
      <c r="A44" s="308">
        <v>40470</v>
      </c>
      <c r="B44" s="309">
        <v>27</v>
      </c>
    </row>
    <row r="45" spans="1:2">
      <c r="A45" s="308">
        <v>40471</v>
      </c>
      <c r="B45" s="309">
        <v>28</v>
      </c>
    </row>
    <row r="46" spans="1:2">
      <c r="A46" s="308">
        <v>40472</v>
      </c>
      <c r="B46" s="309">
        <v>29</v>
      </c>
    </row>
    <row r="47" spans="1:2">
      <c r="A47" s="308">
        <v>40473</v>
      </c>
      <c r="B47" s="309">
        <v>30</v>
      </c>
    </row>
    <row r="48" spans="1:2">
      <c r="A48" s="308">
        <v>40474</v>
      </c>
      <c r="B48" s="309" t="s">
        <v>582</v>
      </c>
    </row>
    <row r="49" spans="1:2">
      <c r="A49" s="308">
        <v>40475</v>
      </c>
      <c r="B49" s="309" t="s">
        <v>582</v>
      </c>
    </row>
    <row r="50" spans="1:2">
      <c r="A50" s="308">
        <v>40476</v>
      </c>
      <c r="B50" s="309">
        <v>31</v>
      </c>
    </row>
    <row r="51" spans="1:2">
      <c r="A51" s="308">
        <v>40477</v>
      </c>
      <c r="B51" s="309">
        <v>32</v>
      </c>
    </row>
    <row r="52" spans="1:2">
      <c r="A52" s="308">
        <v>40478</v>
      </c>
      <c r="B52" s="309">
        <v>33</v>
      </c>
    </row>
    <row r="53" spans="1:2">
      <c r="A53" s="308">
        <v>40479</v>
      </c>
      <c r="B53" s="309">
        <v>34</v>
      </c>
    </row>
    <row r="54" spans="1:2">
      <c r="A54" s="308">
        <v>40480</v>
      </c>
      <c r="B54" s="309">
        <v>35</v>
      </c>
    </row>
    <row r="55" spans="1:2">
      <c r="A55" s="308">
        <v>40481</v>
      </c>
      <c r="B55" s="309" t="s">
        <v>582</v>
      </c>
    </row>
    <row r="56" spans="1:2">
      <c r="A56" s="308">
        <v>40482</v>
      </c>
      <c r="B56" s="309" t="s">
        <v>582</v>
      </c>
    </row>
    <row r="57" spans="1:2">
      <c r="A57" s="308">
        <v>40483</v>
      </c>
      <c r="B57" s="309">
        <v>36</v>
      </c>
    </row>
    <row r="58" spans="1:2">
      <c r="A58" s="308">
        <v>40484</v>
      </c>
      <c r="B58" s="309" t="s">
        <v>582</v>
      </c>
    </row>
    <row r="59" spans="1:2">
      <c r="A59" s="308">
        <v>40485</v>
      </c>
      <c r="B59" s="309">
        <v>37</v>
      </c>
    </row>
    <row r="60" spans="1:2">
      <c r="A60" s="308">
        <v>40486</v>
      </c>
      <c r="B60" s="309">
        <v>38</v>
      </c>
    </row>
    <row r="61" spans="1:2">
      <c r="A61" s="308">
        <v>40487</v>
      </c>
      <c r="B61" s="309">
        <v>39</v>
      </c>
    </row>
    <row r="62" spans="1:2">
      <c r="A62" s="308">
        <v>40488</v>
      </c>
      <c r="B62" s="309" t="s">
        <v>582</v>
      </c>
    </row>
    <row r="63" spans="1:2">
      <c r="A63" s="308">
        <v>40489</v>
      </c>
      <c r="B63" s="309" t="s">
        <v>582</v>
      </c>
    </row>
    <row r="64" spans="1:2">
      <c r="A64" s="308">
        <v>40490</v>
      </c>
      <c r="B64" s="309">
        <v>40</v>
      </c>
    </row>
    <row r="65" spans="1:2">
      <c r="A65" s="308">
        <v>40491</v>
      </c>
      <c r="B65" s="309">
        <v>41</v>
      </c>
    </row>
    <row r="66" spans="1:2">
      <c r="A66" s="308">
        <v>40492</v>
      </c>
      <c r="B66" s="309">
        <v>42</v>
      </c>
    </row>
    <row r="67" spans="1:2">
      <c r="A67" s="308">
        <v>40493</v>
      </c>
      <c r="B67" s="309" t="s">
        <v>582</v>
      </c>
    </row>
    <row r="68" spans="1:2">
      <c r="A68" s="308">
        <v>40494</v>
      </c>
      <c r="B68" s="309">
        <v>43</v>
      </c>
    </row>
    <row r="69" spans="1:2">
      <c r="A69" s="308">
        <v>40495</v>
      </c>
      <c r="B69" s="309" t="s">
        <v>582</v>
      </c>
    </row>
    <row r="70" spans="1:2">
      <c r="A70" s="308">
        <v>40496</v>
      </c>
      <c r="B70" s="309" t="s">
        <v>582</v>
      </c>
    </row>
    <row r="71" spans="1:2">
      <c r="A71" s="308">
        <v>40497</v>
      </c>
      <c r="B71" s="309">
        <v>44</v>
      </c>
    </row>
    <row r="72" spans="1:2">
      <c r="A72" s="308">
        <v>40498</v>
      </c>
      <c r="B72" s="309">
        <v>45</v>
      </c>
    </row>
    <row r="73" spans="1:2">
      <c r="A73" s="308">
        <v>40499</v>
      </c>
      <c r="B73" s="309">
        <v>46</v>
      </c>
    </row>
    <row r="74" spans="1:2">
      <c r="A74" s="308">
        <v>40500</v>
      </c>
      <c r="B74" s="309">
        <v>47</v>
      </c>
    </row>
    <row r="75" spans="1:2">
      <c r="A75" s="308">
        <v>40501</v>
      </c>
      <c r="B75" s="309">
        <v>48</v>
      </c>
    </row>
    <row r="76" spans="1:2">
      <c r="A76" s="308">
        <v>40502</v>
      </c>
      <c r="B76" s="309" t="s">
        <v>582</v>
      </c>
    </row>
    <row r="77" spans="1:2">
      <c r="A77" s="308">
        <v>40503</v>
      </c>
      <c r="B77" s="309" t="s">
        <v>582</v>
      </c>
    </row>
    <row r="78" spans="1:2">
      <c r="A78" s="308">
        <v>40504</v>
      </c>
      <c r="B78" s="309">
        <v>49</v>
      </c>
    </row>
    <row r="79" spans="1:2">
      <c r="A79" s="308">
        <v>40505</v>
      </c>
      <c r="B79" s="309">
        <v>50</v>
      </c>
    </row>
    <row r="80" spans="1:2">
      <c r="A80" s="308">
        <v>40506</v>
      </c>
      <c r="B80" s="309">
        <v>51</v>
      </c>
    </row>
    <row r="81" spans="1:2">
      <c r="A81" s="308">
        <v>40507</v>
      </c>
      <c r="B81" s="309">
        <v>52</v>
      </c>
    </row>
    <row r="82" spans="1:2">
      <c r="A82" s="308">
        <v>40508</v>
      </c>
      <c r="B82" s="309">
        <v>53</v>
      </c>
    </row>
    <row r="83" spans="1:2">
      <c r="A83" s="308">
        <v>40509</v>
      </c>
      <c r="B83" s="309" t="s">
        <v>582</v>
      </c>
    </row>
    <row r="84" spans="1:2">
      <c r="A84" s="308">
        <v>40510</v>
      </c>
      <c r="B84" s="309" t="s">
        <v>582</v>
      </c>
    </row>
    <row r="85" spans="1:2">
      <c r="A85" s="308">
        <v>40511</v>
      </c>
      <c r="B85" s="309">
        <v>54</v>
      </c>
    </row>
    <row r="86" spans="1:2">
      <c r="A86" s="308">
        <v>40512</v>
      </c>
      <c r="B86" s="309">
        <v>55</v>
      </c>
    </row>
    <row r="87" spans="1:2">
      <c r="A87" s="308">
        <v>40513</v>
      </c>
      <c r="B87" s="309">
        <v>56</v>
      </c>
    </row>
    <row r="88" spans="1:2">
      <c r="A88" s="308">
        <v>40514</v>
      </c>
      <c r="B88" s="309">
        <v>57</v>
      </c>
    </row>
    <row r="89" spans="1:2">
      <c r="A89" s="308">
        <v>40515</v>
      </c>
      <c r="B89" s="309">
        <v>58</v>
      </c>
    </row>
    <row r="90" spans="1:2">
      <c r="A90" s="308">
        <v>40516</v>
      </c>
      <c r="B90" s="309" t="s">
        <v>582</v>
      </c>
    </row>
    <row r="91" spans="1:2">
      <c r="A91" s="308">
        <v>40517</v>
      </c>
      <c r="B91" s="309" t="s">
        <v>582</v>
      </c>
    </row>
    <row r="92" spans="1:2">
      <c r="A92" s="308">
        <v>40518</v>
      </c>
      <c r="B92" s="309">
        <v>59</v>
      </c>
    </row>
    <row r="93" spans="1:2">
      <c r="A93" s="308">
        <v>40519</v>
      </c>
      <c r="B93" s="309">
        <v>60</v>
      </c>
    </row>
    <row r="94" spans="1:2">
      <c r="A94" s="308">
        <v>40520</v>
      </c>
      <c r="B94" s="309">
        <v>61</v>
      </c>
    </row>
    <row r="95" spans="1:2">
      <c r="A95" s="308">
        <v>40521</v>
      </c>
      <c r="B95" s="309">
        <v>62</v>
      </c>
    </row>
    <row r="96" spans="1:2">
      <c r="A96" s="308">
        <v>40522</v>
      </c>
      <c r="B96" s="309">
        <v>63</v>
      </c>
    </row>
    <row r="97" spans="1:2">
      <c r="A97" s="308">
        <v>40523</v>
      </c>
      <c r="B97" s="309" t="s">
        <v>582</v>
      </c>
    </row>
    <row r="98" spans="1:2">
      <c r="A98" s="308">
        <v>40524</v>
      </c>
      <c r="B98" s="309" t="s">
        <v>582</v>
      </c>
    </row>
    <row r="99" spans="1:2">
      <c r="A99" s="308">
        <v>40525</v>
      </c>
      <c r="B99" s="309">
        <v>64</v>
      </c>
    </row>
    <row r="100" spans="1:2">
      <c r="A100" s="308">
        <v>40526</v>
      </c>
      <c r="B100" s="309">
        <v>65</v>
      </c>
    </row>
    <row r="101" spans="1:2">
      <c r="A101" s="308">
        <v>40527</v>
      </c>
      <c r="B101" s="309">
        <v>66</v>
      </c>
    </row>
    <row r="102" spans="1:2">
      <c r="A102" s="308">
        <v>40528</v>
      </c>
      <c r="B102" s="309">
        <v>67</v>
      </c>
    </row>
    <row r="103" spans="1:2">
      <c r="A103" s="308">
        <v>40529</v>
      </c>
      <c r="B103" s="309">
        <v>68</v>
      </c>
    </row>
    <row r="104" spans="1:2">
      <c r="A104" s="308">
        <v>40530</v>
      </c>
      <c r="B104" s="309" t="s">
        <v>582</v>
      </c>
    </row>
    <row r="105" spans="1:2">
      <c r="A105" s="308">
        <v>40531</v>
      </c>
      <c r="B105" s="309" t="s">
        <v>582</v>
      </c>
    </row>
    <row r="106" spans="1:2">
      <c r="A106" s="308">
        <v>40532</v>
      </c>
      <c r="B106" s="309">
        <v>69</v>
      </c>
    </row>
    <row r="107" spans="1:2">
      <c r="A107" s="308">
        <v>40533</v>
      </c>
      <c r="B107" s="309">
        <v>70</v>
      </c>
    </row>
    <row r="108" spans="1:2">
      <c r="A108" s="308">
        <v>40534</v>
      </c>
      <c r="B108" s="309">
        <v>71</v>
      </c>
    </row>
    <row r="109" spans="1:2">
      <c r="A109" s="308">
        <v>40535</v>
      </c>
      <c r="B109" s="309">
        <v>72</v>
      </c>
    </row>
    <row r="110" spans="1:2">
      <c r="A110" s="308">
        <v>40536</v>
      </c>
      <c r="B110" s="309" t="s">
        <v>582</v>
      </c>
    </row>
    <row r="111" spans="1:2">
      <c r="A111" s="308">
        <v>40537</v>
      </c>
      <c r="B111" s="309" t="s">
        <v>582</v>
      </c>
    </row>
    <row r="112" spans="1:2">
      <c r="A112" s="308">
        <v>40538</v>
      </c>
      <c r="B112" s="309" t="s">
        <v>582</v>
      </c>
    </row>
    <row r="113" spans="1:2">
      <c r="A113" s="308">
        <v>40539</v>
      </c>
      <c r="B113" s="309" t="s">
        <v>582</v>
      </c>
    </row>
    <row r="114" spans="1:2">
      <c r="A114" s="308">
        <v>40540</v>
      </c>
      <c r="B114" s="309" t="s">
        <v>582</v>
      </c>
    </row>
    <row r="115" spans="1:2">
      <c r="A115" s="308">
        <v>40541</v>
      </c>
      <c r="B115" s="309" t="s">
        <v>582</v>
      </c>
    </row>
    <row r="116" spans="1:2">
      <c r="A116" s="308">
        <v>40542</v>
      </c>
      <c r="B116" s="309" t="s">
        <v>582</v>
      </c>
    </row>
    <row r="117" spans="1:2">
      <c r="A117" s="308">
        <v>40543</v>
      </c>
      <c r="B117" s="309" t="s">
        <v>582</v>
      </c>
    </row>
    <row r="118" spans="1:2">
      <c r="A118" s="308">
        <v>40544</v>
      </c>
      <c r="B118" s="309" t="s">
        <v>582</v>
      </c>
    </row>
    <row r="119" spans="1:2">
      <c r="A119" s="308">
        <v>40545</v>
      </c>
      <c r="B119" s="309" t="s">
        <v>582</v>
      </c>
    </row>
    <row r="120" spans="1:2">
      <c r="A120" s="308">
        <v>40546</v>
      </c>
      <c r="B120" s="309">
        <v>73</v>
      </c>
    </row>
    <row r="121" spans="1:2">
      <c r="A121" s="308">
        <v>40547</v>
      </c>
      <c r="B121" s="309">
        <v>74</v>
      </c>
    </row>
    <row r="122" spans="1:2">
      <c r="A122" s="308">
        <v>40548</v>
      </c>
      <c r="B122" s="309">
        <v>75</v>
      </c>
    </row>
    <row r="123" spans="1:2">
      <c r="A123" s="308">
        <v>40549</v>
      </c>
      <c r="B123" s="309">
        <v>76</v>
      </c>
    </row>
    <row r="124" spans="1:2">
      <c r="A124" s="308">
        <v>40550</v>
      </c>
      <c r="B124" s="309">
        <v>77</v>
      </c>
    </row>
    <row r="125" spans="1:2">
      <c r="A125" s="308">
        <v>40551</v>
      </c>
      <c r="B125" s="309" t="s">
        <v>582</v>
      </c>
    </row>
    <row r="126" spans="1:2">
      <c r="A126" s="308">
        <v>40552</v>
      </c>
      <c r="B126" s="309" t="s">
        <v>582</v>
      </c>
    </row>
    <row r="127" spans="1:2">
      <c r="A127" s="308">
        <v>40553</v>
      </c>
      <c r="B127" s="309">
        <v>78</v>
      </c>
    </row>
    <row r="128" spans="1:2">
      <c r="A128" s="308">
        <v>40554</v>
      </c>
      <c r="B128" s="309">
        <v>79</v>
      </c>
    </row>
    <row r="129" spans="1:2">
      <c r="A129" s="308">
        <v>40555</v>
      </c>
      <c r="B129" s="309">
        <v>80</v>
      </c>
    </row>
    <row r="130" spans="1:2">
      <c r="A130" s="308">
        <v>40556</v>
      </c>
      <c r="B130" s="309">
        <v>81</v>
      </c>
    </row>
    <row r="131" spans="1:2">
      <c r="A131" s="308">
        <v>40557</v>
      </c>
      <c r="B131" s="309">
        <v>82</v>
      </c>
    </row>
    <row r="132" spans="1:2">
      <c r="A132" s="308">
        <v>40558</v>
      </c>
      <c r="B132" s="309" t="s">
        <v>582</v>
      </c>
    </row>
    <row r="133" spans="1:2">
      <c r="A133" s="308">
        <v>40559</v>
      </c>
      <c r="B133" s="309" t="s">
        <v>582</v>
      </c>
    </row>
    <row r="134" spans="1:2">
      <c r="A134" s="308">
        <v>40560</v>
      </c>
      <c r="B134" s="309" t="s">
        <v>582</v>
      </c>
    </row>
    <row r="135" spans="1:2">
      <c r="A135" s="308">
        <v>40561</v>
      </c>
      <c r="B135" s="309">
        <v>83</v>
      </c>
    </row>
    <row r="136" spans="1:2">
      <c r="A136" s="308">
        <v>40562</v>
      </c>
      <c r="B136" s="309">
        <v>84</v>
      </c>
    </row>
    <row r="137" spans="1:2">
      <c r="A137" s="308">
        <v>40563</v>
      </c>
      <c r="B137" s="309">
        <v>85</v>
      </c>
    </row>
    <row r="138" spans="1:2">
      <c r="A138" s="308">
        <v>40564</v>
      </c>
      <c r="B138" s="309">
        <v>86</v>
      </c>
    </row>
    <row r="139" spans="1:2">
      <c r="A139" s="308">
        <v>40565</v>
      </c>
      <c r="B139" s="309" t="s">
        <v>582</v>
      </c>
    </row>
    <row r="140" spans="1:2">
      <c r="A140" s="308">
        <v>40566</v>
      </c>
      <c r="B140" s="309" t="s">
        <v>582</v>
      </c>
    </row>
    <row r="141" spans="1:2">
      <c r="A141" s="308">
        <v>40567</v>
      </c>
      <c r="B141" s="309">
        <v>87</v>
      </c>
    </row>
    <row r="142" spans="1:2">
      <c r="A142" s="308">
        <v>40568</v>
      </c>
      <c r="B142" s="309">
        <v>88</v>
      </c>
    </row>
    <row r="143" spans="1:2">
      <c r="A143" s="308">
        <v>40569</v>
      </c>
      <c r="B143" s="309">
        <v>89</v>
      </c>
    </row>
    <row r="144" spans="1:2">
      <c r="A144" s="308">
        <v>40570</v>
      </c>
      <c r="B144" s="309">
        <v>90</v>
      </c>
    </row>
    <row r="145" spans="1:2">
      <c r="A145" s="308">
        <v>40571</v>
      </c>
      <c r="B145" s="309">
        <v>91</v>
      </c>
    </row>
    <row r="146" spans="1:2">
      <c r="A146" s="308">
        <v>40572</v>
      </c>
      <c r="B146" s="309" t="s">
        <v>582</v>
      </c>
    </row>
    <row r="147" spans="1:2">
      <c r="A147" s="308">
        <v>40573</v>
      </c>
      <c r="B147" s="309" t="s">
        <v>582</v>
      </c>
    </row>
    <row r="148" spans="1:2">
      <c r="A148" s="308">
        <v>40574</v>
      </c>
      <c r="B148" s="309">
        <v>92</v>
      </c>
    </row>
    <row r="149" spans="1:2">
      <c r="A149" s="308">
        <v>40575</v>
      </c>
      <c r="B149" s="309">
        <v>93</v>
      </c>
    </row>
    <row r="150" spans="1:2">
      <c r="A150" s="308">
        <v>40576</v>
      </c>
      <c r="B150" s="309">
        <v>94</v>
      </c>
    </row>
    <row r="151" spans="1:2">
      <c r="A151" s="308">
        <v>40577</v>
      </c>
      <c r="B151" s="309">
        <v>95</v>
      </c>
    </row>
    <row r="152" spans="1:2">
      <c r="A152" s="308">
        <v>40578</v>
      </c>
      <c r="B152" s="309">
        <v>96</v>
      </c>
    </row>
    <row r="153" spans="1:2">
      <c r="A153" s="308">
        <v>40579</v>
      </c>
      <c r="B153" s="309" t="s">
        <v>582</v>
      </c>
    </row>
    <row r="154" spans="1:2">
      <c r="A154" s="308">
        <v>40580</v>
      </c>
      <c r="B154" s="309" t="s">
        <v>582</v>
      </c>
    </row>
    <row r="155" spans="1:2">
      <c r="A155" s="308">
        <v>40581</v>
      </c>
      <c r="B155" s="309">
        <v>97</v>
      </c>
    </row>
    <row r="156" spans="1:2">
      <c r="A156" s="308">
        <v>40582</v>
      </c>
      <c r="B156" s="309">
        <v>98</v>
      </c>
    </row>
    <row r="157" spans="1:2">
      <c r="A157" s="308">
        <v>40583</v>
      </c>
      <c r="B157" s="309">
        <v>99</v>
      </c>
    </row>
    <row r="158" spans="1:2">
      <c r="A158" s="308">
        <v>40584</v>
      </c>
      <c r="B158" s="309">
        <v>100</v>
      </c>
    </row>
    <row r="159" spans="1:2">
      <c r="A159" s="308">
        <v>40585</v>
      </c>
      <c r="B159" s="309">
        <v>101</v>
      </c>
    </row>
    <row r="160" spans="1:2">
      <c r="A160" s="308">
        <v>40586</v>
      </c>
      <c r="B160" s="309" t="s">
        <v>582</v>
      </c>
    </row>
    <row r="161" spans="1:2">
      <c r="A161" s="308">
        <v>40587</v>
      </c>
      <c r="B161" s="309" t="s">
        <v>582</v>
      </c>
    </row>
    <row r="162" spans="1:2">
      <c r="A162" s="308">
        <v>40588</v>
      </c>
      <c r="B162" s="309">
        <v>102</v>
      </c>
    </row>
    <row r="163" spans="1:2">
      <c r="A163" s="308">
        <v>40589</v>
      </c>
      <c r="B163" s="309">
        <v>103</v>
      </c>
    </row>
    <row r="164" spans="1:2">
      <c r="A164" s="308">
        <v>40590</v>
      </c>
      <c r="B164" s="309">
        <v>104</v>
      </c>
    </row>
    <row r="165" spans="1:2">
      <c r="A165" s="308">
        <v>40591</v>
      </c>
      <c r="B165" s="309">
        <v>105</v>
      </c>
    </row>
    <row r="166" spans="1:2">
      <c r="A166" s="308">
        <v>40592</v>
      </c>
      <c r="B166" s="309">
        <v>106</v>
      </c>
    </row>
    <row r="167" spans="1:2">
      <c r="A167" s="308">
        <v>40593</v>
      </c>
      <c r="B167" s="309" t="s">
        <v>582</v>
      </c>
    </row>
    <row r="168" spans="1:2">
      <c r="A168" s="308">
        <v>40594</v>
      </c>
      <c r="B168" s="309" t="s">
        <v>582</v>
      </c>
    </row>
    <row r="169" spans="1:2">
      <c r="A169" s="308">
        <v>40595</v>
      </c>
      <c r="B169" s="309" t="s">
        <v>582</v>
      </c>
    </row>
    <row r="170" spans="1:2">
      <c r="A170" s="308">
        <v>40596</v>
      </c>
      <c r="B170" s="309" t="s">
        <v>582</v>
      </c>
    </row>
    <row r="171" spans="1:2">
      <c r="A171" s="308">
        <v>40597</v>
      </c>
      <c r="B171" s="309" t="s">
        <v>582</v>
      </c>
    </row>
    <row r="172" spans="1:2">
      <c r="A172" s="308">
        <v>40598</v>
      </c>
      <c r="B172" s="309" t="s">
        <v>582</v>
      </c>
    </row>
    <row r="173" spans="1:2">
      <c r="A173" s="308">
        <v>40599</v>
      </c>
      <c r="B173" s="309" t="s">
        <v>582</v>
      </c>
    </row>
    <row r="174" spans="1:2">
      <c r="A174" s="308">
        <v>40600</v>
      </c>
      <c r="B174" s="309" t="s">
        <v>582</v>
      </c>
    </row>
    <row r="175" spans="1:2">
      <c r="A175" s="308">
        <v>40601</v>
      </c>
      <c r="B175" s="309" t="s">
        <v>582</v>
      </c>
    </row>
    <row r="176" spans="1:2">
      <c r="A176" s="308">
        <v>40602</v>
      </c>
      <c r="B176" s="309">
        <v>107</v>
      </c>
    </row>
    <row r="177" spans="1:2">
      <c r="A177" s="308">
        <v>40603</v>
      </c>
      <c r="B177" s="309">
        <v>108</v>
      </c>
    </row>
    <row r="178" spans="1:2">
      <c r="A178" s="308">
        <v>40604</v>
      </c>
      <c r="B178" s="309">
        <v>109</v>
      </c>
    </row>
    <row r="179" spans="1:2">
      <c r="A179" s="308">
        <v>40605</v>
      </c>
      <c r="B179" s="309">
        <v>110</v>
      </c>
    </row>
    <row r="180" spans="1:2">
      <c r="A180" s="308">
        <v>40606</v>
      </c>
      <c r="B180" s="309">
        <v>111</v>
      </c>
    </row>
    <row r="181" spans="1:2">
      <c r="A181" s="308">
        <v>40607</v>
      </c>
      <c r="B181" s="309" t="s">
        <v>582</v>
      </c>
    </row>
    <row r="182" spans="1:2">
      <c r="A182" s="308">
        <v>40608</v>
      </c>
      <c r="B182" s="309" t="s">
        <v>582</v>
      </c>
    </row>
    <row r="183" spans="1:2">
      <c r="A183" s="308">
        <v>40609</v>
      </c>
      <c r="B183" s="309">
        <v>112</v>
      </c>
    </row>
    <row r="184" spans="1:2">
      <c r="A184" s="308">
        <v>40610</v>
      </c>
      <c r="B184" s="309">
        <v>113</v>
      </c>
    </row>
    <row r="185" spans="1:2">
      <c r="A185" s="308">
        <v>40611</v>
      </c>
      <c r="B185" s="309">
        <v>114</v>
      </c>
    </row>
    <row r="186" spans="1:2">
      <c r="A186" s="308">
        <v>40612</v>
      </c>
      <c r="B186" s="309">
        <v>115</v>
      </c>
    </row>
    <row r="187" spans="1:2">
      <c r="A187" s="308">
        <v>40613</v>
      </c>
      <c r="B187" s="309">
        <v>116</v>
      </c>
    </row>
    <row r="188" spans="1:2">
      <c r="A188" s="308">
        <v>40614</v>
      </c>
      <c r="B188" s="309" t="s">
        <v>582</v>
      </c>
    </row>
    <row r="189" spans="1:2">
      <c r="A189" s="308">
        <v>40615</v>
      </c>
      <c r="B189" s="309" t="s">
        <v>582</v>
      </c>
    </row>
    <row r="190" spans="1:2">
      <c r="A190" s="308">
        <v>40616</v>
      </c>
      <c r="B190" s="309">
        <v>117</v>
      </c>
    </row>
    <row r="191" spans="1:2">
      <c r="A191" s="308">
        <v>40617</v>
      </c>
      <c r="B191" s="309">
        <v>118</v>
      </c>
    </row>
    <row r="192" spans="1:2">
      <c r="A192" s="308">
        <v>40618</v>
      </c>
      <c r="B192" s="309">
        <v>119</v>
      </c>
    </row>
    <row r="193" spans="1:2">
      <c r="A193" s="308">
        <v>40619</v>
      </c>
      <c r="B193" s="309">
        <v>120</v>
      </c>
    </row>
    <row r="194" spans="1:2">
      <c r="A194" s="308">
        <v>40620</v>
      </c>
      <c r="B194" s="309">
        <v>121</v>
      </c>
    </row>
    <row r="195" spans="1:2">
      <c r="A195" s="308">
        <v>40621</v>
      </c>
      <c r="B195" s="309" t="s">
        <v>582</v>
      </c>
    </row>
    <row r="196" spans="1:2">
      <c r="A196" s="308">
        <v>40622</v>
      </c>
      <c r="B196" s="309" t="s">
        <v>582</v>
      </c>
    </row>
    <row r="197" spans="1:2">
      <c r="A197" s="308">
        <v>40623</v>
      </c>
      <c r="B197" s="309">
        <v>122</v>
      </c>
    </row>
    <row r="198" spans="1:2">
      <c r="A198" s="308">
        <v>40624</v>
      </c>
      <c r="B198" s="309">
        <v>123</v>
      </c>
    </row>
    <row r="199" spans="1:2">
      <c r="A199" s="308">
        <v>40625</v>
      </c>
      <c r="B199" s="309">
        <v>124</v>
      </c>
    </row>
    <row r="200" spans="1:2">
      <c r="A200" s="308">
        <v>40626</v>
      </c>
      <c r="B200" s="309">
        <v>125</v>
      </c>
    </row>
    <row r="201" spans="1:2">
      <c r="A201" s="308">
        <v>40627</v>
      </c>
      <c r="B201" s="309">
        <v>126</v>
      </c>
    </row>
    <row r="202" spans="1:2">
      <c r="A202" s="308">
        <v>40628</v>
      </c>
      <c r="B202" s="309" t="s">
        <v>582</v>
      </c>
    </row>
    <row r="203" spans="1:2">
      <c r="A203" s="308">
        <v>40629</v>
      </c>
      <c r="B203" s="309" t="s">
        <v>582</v>
      </c>
    </row>
    <row r="204" spans="1:2">
      <c r="A204" s="308">
        <v>40630</v>
      </c>
      <c r="B204" s="309">
        <v>127</v>
      </c>
    </row>
    <row r="205" spans="1:2">
      <c r="A205" s="308">
        <v>40631</v>
      </c>
      <c r="B205" s="309">
        <v>128</v>
      </c>
    </row>
    <row r="206" spans="1:2">
      <c r="A206" s="308">
        <v>40632</v>
      </c>
      <c r="B206" s="309">
        <v>129</v>
      </c>
    </row>
    <row r="207" spans="1:2">
      <c r="A207" s="308">
        <v>40633</v>
      </c>
      <c r="B207" s="309">
        <v>130</v>
      </c>
    </row>
    <row r="208" spans="1:2">
      <c r="A208" s="308">
        <v>40634</v>
      </c>
      <c r="B208" s="309">
        <v>131</v>
      </c>
    </row>
    <row r="209" spans="1:2">
      <c r="A209" s="308">
        <v>40635</v>
      </c>
      <c r="B209" s="309" t="s">
        <v>582</v>
      </c>
    </row>
    <row r="210" spans="1:2">
      <c r="A210" s="308">
        <v>40636</v>
      </c>
      <c r="B210" s="309" t="s">
        <v>582</v>
      </c>
    </row>
    <row r="211" spans="1:2">
      <c r="A211" s="308">
        <v>40637</v>
      </c>
      <c r="B211" s="309">
        <v>132</v>
      </c>
    </row>
    <row r="212" spans="1:2">
      <c r="A212" s="308">
        <v>40638</v>
      </c>
      <c r="B212" s="309">
        <v>134</v>
      </c>
    </row>
    <row r="213" spans="1:2">
      <c r="A213" s="308">
        <v>40639</v>
      </c>
      <c r="B213" s="309">
        <v>135</v>
      </c>
    </row>
    <row r="214" spans="1:2">
      <c r="A214" s="308">
        <v>40640</v>
      </c>
      <c r="B214" s="309">
        <v>136</v>
      </c>
    </row>
    <row r="215" spans="1:2">
      <c r="A215" s="308">
        <v>40641</v>
      </c>
      <c r="B215" s="309">
        <v>137</v>
      </c>
    </row>
    <row r="216" spans="1:2">
      <c r="A216" s="308">
        <v>40642</v>
      </c>
      <c r="B216" s="309" t="s">
        <v>582</v>
      </c>
    </row>
    <row r="217" spans="1:2">
      <c r="A217" s="308">
        <v>40643</v>
      </c>
      <c r="B217" s="309" t="s">
        <v>582</v>
      </c>
    </row>
    <row r="218" spans="1:2">
      <c r="A218" s="308">
        <v>40644</v>
      </c>
      <c r="B218" s="309">
        <v>138</v>
      </c>
    </row>
    <row r="219" spans="1:2">
      <c r="A219" s="308">
        <v>40645</v>
      </c>
      <c r="B219" s="309">
        <v>139</v>
      </c>
    </row>
    <row r="220" spans="1:2">
      <c r="A220" s="308">
        <v>40646</v>
      </c>
      <c r="B220" s="309">
        <v>140</v>
      </c>
    </row>
    <row r="221" spans="1:2">
      <c r="A221" s="308">
        <v>40647</v>
      </c>
      <c r="B221" s="309">
        <v>141</v>
      </c>
    </row>
    <row r="222" spans="1:2">
      <c r="A222" s="308">
        <v>40648</v>
      </c>
      <c r="B222" s="309">
        <v>142</v>
      </c>
    </row>
    <row r="223" spans="1:2">
      <c r="A223" s="308">
        <v>40649</v>
      </c>
      <c r="B223" s="309" t="s">
        <v>582</v>
      </c>
    </row>
    <row r="224" spans="1:2">
      <c r="A224" s="308">
        <v>40650</v>
      </c>
      <c r="B224" s="309" t="s">
        <v>582</v>
      </c>
    </row>
    <row r="225" spans="1:2">
      <c r="A225" s="308">
        <v>40651</v>
      </c>
      <c r="B225" s="309" t="s">
        <v>582</v>
      </c>
    </row>
    <row r="226" spans="1:2">
      <c r="A226" s="308">
        <v>40652</v>
      </c>
      <c r="B226" s="309" t="s">
        <v>582</v>
      </c>
    </row>
    <row r="227" spans="1:2">
      <c r="A227" s="308">
        <v>40653</v>
      </c>
      <c r="B227" s="309" t="s">
        <v>582</v>
      </c>
    </row>
    <row r="228" spans="1:2">
      <c r="A228" s="308">
        <v>40654</v>
      </c>
      <c r="B228" s="309" t="s">
        <v>582</v>
      </c>
    </row>
    <row r="229" spans="1:2">
      <c r="A229" s="308">
        <v>40655</v>
      </c>
      <c r="B229" s="309" t="s">
        <v>582</v>
      </c>
    </row>
    <row r="230" spans="1:2">
      <c r="A230" s="308">
        <v>40656</v>
      </c>
      <c r="B230" s="309" t="s">
        <v>582</v>
      </c>
    </row>
    <row r="231" spans="1:2">
      <c r="A231" s="308">
        <v>40657</v>
      </c>
      <c r="B231" s="309" t="s">
        <v>582</v>
      </c>
    </row>
    <row r="232" spans="1:2">
      <c r="A232" s="308">
        <v>40658</v>
      </c>
      <c r="B232" s="309" t="s">
        <v>582</v>
      </c>
    </row>
    <row r="233" spans="1:2">
      <c r="A233" s="308">
        <v>40659</v>
      </c>
      <c r="B233" s="309" t="s">
        <v>582</v>
      </c>
    </row>
    <row r="234" spans="1:2">
      <c r="A234" s="308">
        <v>40660</v>
      </c>
      <c r="B234" s="309">
        <v>143</v>
      </c>
    </row>
    <row r="235" spans="1:2">
      <c r="A235" s="308">
        <v>40661</v>
      </c>
      <c r="B235" s="309">
        <v>144</v>
      </c>
    </row>
    <row r="236" spans="1:2">
      <c r="A236" s="308">
        <v>40662</v>
      </c>
      <c r="B236" s="309">
        <v>145</v>
      </c>
    </row>
    <row r="237" spans="1:2">
      <c r="A237" s="308">
        <v>40663</v>
      </c>
      <c r="B237" s="309" t="s">
        <v>582</v>
      </c>
    </row>
    <row r="238" spans="1:2">
      <c r="A238" s="308">
        <v>40664</v>
      </c>
      <c r="B238" s="309" t="s">
        <v>582</v>
      </c>
    </row>
    <row r="239" spans="1:2">
      <c r="A239" s="308">
        <v>40665</v>
      </c>
      <c r="B239" s="309">
        <v>146</v>
      </c>
    </row>
    <row r="240" spans="1:2">
      <c r="A240" s="308">
        <v>40666</v>
      </c>
      <c r="B240" s="309">
        <v>147</v>
      </c>
    </row>
    <row r="241" spans="1:2">
      <c r="A241" s="308">
        <v>40667</v>
      </c>
      <c r="B241" s="309">
        <v>148</v>
      </c>
    </row>
    <row r="242" spans="1:2">
      <c r="A242" s="308">
        <v>40668</v>
      </c>
      <c r="B242" s="309">
        <v>149</v>
      </c>
    </row>
    <row r="243" spans="1:2">
      <c r="A243" s="308">
        <v>40669</v>
      </c>
      <c r="B243" s="309">
        <v>150</v>
      </c>
    </row>
    <row r="244" spans="1:2">
      <c r="A244" s="308">
        <v>40670</v>
      </c>
      <c r="B244" s="309" t="s">
        <v>582</v>
      </c>
    </row>
    <row r="245" spans="1:2">
      <c r="A245" s="308">
        <v>40671</v>
      </c>
      <c r="B245" s="309" t="s">
        <v>582</v>
      </c>
    </row>
    <row r="246" spans="1:2">
      <c r="A246" s="308">
        <v>40672</v>
      </c>
      <c r="B246" s="309">
        <v>151</v>
      </c>
    </row>
    <row r="247" spans="1:2">
      <c r="A247" s="308">
        <v>40673</v>
      </c>
      <c r="B247" s="309">
        <v>152</v>
      </c>
    </row>
    <row r="248" spans="1:2">
      <c r="A248" s="308">
        <v>40674</v>
      </c>
      <c r="B248" s="309">
        <v>153</v>
      </c>
    </row>
    <row r="249" spans="1:2">
      <c r="A249" s="308">
        <v>40675</v>
      </c>
      <c r="B249" s="309">
        <v>154</v>
      </c>
    </row>
    <row r="250" spans="1:2">
      <c r="A250" s="308">
        <v>40676</v>
      </c>
      <c r="B250" s="309">
        <v>155</v>
      </c>
    </row>
    <row r="251" spans="1:2">
      <c r="A251" s="308">
        <v>40677</v>
      </c>
      <c r="B251" s="309" t="s">
        <v>582</v>
      </c>
    </row>
    <row r="252" spans="1:2">
      <c r="A252" s="308">
        <v>40678</v>
      </c>
      <c r="B252" s="309" t="s">
        <v>582</v>
      </c>
    </row>
    <row r="253" spans="1:2">
      <c r="A253" s="308">
        <v>40679</v>
      </c>
      <c r="B253" s="309">
        <v>156</v>
      </c>
    </row>
    <row r="254" spans="1:2">
      <c r="A254" s="308">
        <v>40680</v>
      </c>
      <c r="B254" s="309">
        <v>157</v>
      </c>
    </row>
    <row r="255" spans="1:2">
      <c r="A255" s="308">
        <v>40681</v>
      </c>
      <c r="B255" s="309">
        <v>158</v>
      </c>
    </row>
    <row r="256" spans="1:2">
      <c r="A256" s="308">
        <v>40682</v>
      </c>
      <c r="B256" s="309">
        <v>159</v>
      </c>
    </row>
    <row r="257" spans="1:2">
      <c r="A257" s="308">
        <v>40683</v>
      </c>
      <c r="B257" s="309">
        <v>160</v>
      </c>
    </row>
    <row r="258" spans="1:2">
      <c r="A258" s="308">
        <v>40684</v>
      </c>
      <c r="B258" s="309" t="s">
        <v>582</v>
      </c>
    </row>
    <row r="259" spans="1:2">
      <c r="A259" s="308">
        <v>40685</v>
      </c>
      <c r="B259" s="309" t="s">
        <v>582</v>
      </c>
    </row>
    <row r="260" spans="1:2">
      <c r="A260" s="308">
        <v>40686</v>
      </c>
      <c r="B260" s="309">
        <v>161</v>
      </c>
    </row>
    <row r="261" spans="1:2">
      <c r="A261" s="308">
        <v>40687</v>
      </c>
      <c r="B261" s="309">
        <v>162</v>
      </c>
    </row>
    <row r="262" spans="1:2">
      <c r="A262" s="308">
        <v>40688</v>
      </c>
      <c r="B262" s="309">
        <v>163</v>
      </c>
    </row>
    <row r="263" spans="1:2">
      <c r="A263" s="308">
        <v>40689</v>
      </c>
      <c r="B263" s="309">
        <v>164</v>
      </c>
    </row>
    <row r="264" spans="1:2">
      <c r="A264" s="308">
        <v>40690</v>
      </c>
      <c r="B264" s="309">
        <v>165</v>
      </c>
    </row>
    <row r="265" spans="1:2">
      <c r="A265" s="308">
        <v>40691</v>
      </c>
      <c r="B265" s="309" t="s">
        <v>582</v>
      </c>
    </row>
    <row r="266" spans="1:2">
      <c r="A266" s="308">
        <v>40692</v>
      </c>
      <c r="B266" s="309" t="s">
        <v>582</v>
      </c>
    </row>
    <row r="267" spans="1:2">
      <c r="A267" s="308">
        <v>40693</v>
      </c>
      <c r="B267" s="309">
        <v>166</v>
      </c>
    </row>
    <row r="268" spans="1:2">
      <c r="A268" s="308">
        <v>40694</v>
      </c>
      <c r="B268" s="309">
        <v>167</v>
      </c>
    </row>
    <row r="269" spans="1:2">
      <c r="A269" s="308">
        <v>40695</v>
      </c>
      <c r="B269" s="309">
        <v>168</v>
      </c>
    </row>
    <row r="270" spans="1:2">
      <c r="A270" s="308">
        <v>40696</v>
      </c>
      <c r="B270" s="309">
        <v>169</v>
      </c>
    </row>
    <row r="271" spans="1:2">
      <c r="A271" s="308">
        <v>40697</v>
      </c>
      <c r="B271" s="309">
        <v>170</v>
      </c>
    </row>
    <row r="272" spans="1:2">
      <c r="A272" s="308">
        <v>40698</v>
      </c>
      <c r="B272" s="309" t="s">
        <v>582</v>
      </c>
    </row>
    <row r="273" spans="1:2">
      <c r="A273" s="308">
        <v>40699</v>
      </c>
      <c r="B273" s="309" t="s">
        <v>582</v>
      </c>
    </row>
    <row r="274" spans="1:2">
      <c r="A274" s="308">
        <v>40700</v>
      </c>
      <c r="B274" s="309">
        <v>171</v>
      </c>
    </row>
    <row r="275" spans="1:2">
      <c r="A275" s="308">
        <v>40701</v>
      </c>
      <c r="B275" s="309">
        <v>172</v>
      </c>
    </row>
    <row r="276" spans="1:2">
      <c r="A276" s="308">
        <v>40702</v>
      </c>
      <c r="B276" s="309">
        <v>173</v>
      </c>
    </row>
    <row r="277" spans="1:2">
      <c r="A277" s="308">
        <v>40703</v>
      </c>
      <c r="B277" s="309" t="s">
        <v>582</v>
      </c>
    </row>
    <row r="278" spans="1:2">
      <c r="A278" s="308">
        <v>40704</v>
      </c>
      <c r="B278" s="309">
        <v>174</v>
      </c>
    </row>
    <row r="279" spans="1:2">
      <c r="A279" s="308">
        <v>40705</v>
      </c>
      <c r="B279" s="309" t="s">
        <v>582</v>
      </c>
    </row>
    <row r="280" spans="1:2">
      <c r="A280" s="308">
        <v>40706</v>
      </c>
      <c r="B280" s="309" t="s">
        <v>582</v>
      </c>
    </row>
    <row r="281" spans="1:2">
      <c r="A281" s="308">
        <v>40707</v>
      </c>
      <c r="B281" s="309">
        <v>175</v>
      </c>
    </row>
    <row r="282" spans="1:2">
      <c r="A282" s="308">
        <v>40708</v>
      </c>
      <c r="B282" s="309">
        <v>176</v>
      </c>
    </row>
    <row r="283" spans="1:2">
      <c r="A283" s="308">
        <v>40709</v>
      </c>
      <c r="B283" s="309">
        <v>177</v>
      </c>
    </row>
    <row r="284" spans="1:2">
      <c r="A284" s="308">
        <v>40710</v>
      </c>
      <c r="B284" s="309">
        <v>178</v>
      </c>
    </row>
    <row r="285" spans="1:2">
      <c r="A285" s="308">
        <v>40711</v>
      </c>
      <c r="B285" s="309">
        <v>179</v>
      </c>
    </row>
    <row r="286" spans="1:2">
      <c r="A286" s="308">
        <v>40712</v>
      </c>
      <c r="B286" s="309" t="s">
        <v>582</v>
      </c>
    </row>
    <row r="287" spans="1:2">
      <c r="A287" s="308">
        <v>40713</v>
      </c>
      <c r="B287" s="309" t="s">
        <v>582</v>
      </c>
    </row>
    <row r="288" spans="1:2">
      <c r="A288" s="308">
        <v>40714</v>
      </c>
      <c r="B288" s="309">
        <v>180</v>
      </c>
    </row>
    <row r="289" spans="1:3">
      <c r="A289" s="308">
        <v>40715</v>
      </c>
      <c r="B289" s="309">
        <v>181</v>
      </c>
    </row>
    <row r="290" spans="1:3">
      <c r="A290" s="308">
        <v>40716</v>
      </c>
      <c r="B290" s="309">
        <v>182</v>
      </c>
    </row>
    <row r="291" spans="1:3">
      <c r="A291" s="308">
        <v>40717</v>
      </c>
      <c r="B291" s="309">
        <v>183</v>
      </c>
    </row>
    <row r="292" spans="1:3">
      <c r="A292" s="308">
        <v>40718</v>
      </c>
      <c r="B292" s="309">
        <v>184</v>
      </c>
    </row>
    <row r="293" spans="1:3">
      <c r="A293" s="308">
        <v>40719</v>
      </c>
      <c r="B293" s="309" t="s">
        <v>582</v>
      </c>
    </row>
    <row r="294" spans="1:3">
      <c r="A294" s="308">
        <v>40720</v>
      </c>
      <c r="B294" s="309" t="s">
        <v>582</v>
      </c>
    </row>
    <row r="295" spans="1:3">
      <c r="A295" s="308">
        <v>40721</v>
      </c>
      <c r="B295" s="309">
        <v>185</v>
      </c>
    </row>
    <row r="296" spans="1:3">
      <c r="A296" s="308">
        <v>40722</v>
      </c>
      <c r="B296" s="309">
        <v>186</v>
      </c>
      <c r="C296" s="55">
        <f>(486/5)*14.71*B296</f>
        <v>265945.03200000001</v>
      </c>
    </row>
    <row r="297" spans="1:3">
      <c r="A297" s="308">
        <v>40723</v>
      </c>
      <c r="B297" s="309" t="s">
        <v>585</v>
      </c>
    </row>
    <row r="298" spans="1:3">
      <c r="A298" s="308" t="s">
        <v>178</v>
      </c>
    </row>
  </sheetData>
  <pageMargins left="0.7" right="0.7" top="0.75" bottom="0.75" header="0.3" footer="0.3"/>
  <pageSetup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 workbookViewId="1"/>
  </sheetViews>
  <sheetFormatPr defaultColWidth="8.88671875" defaultRowHeight="14.4"/>
  <cols>
    <col min="11" max="11" width="18.33203125" customWidth="1"/>
    <col min="12" max="12" width="13" customWidth="1"/>
  </cols>
  <sheetData>
    <row r="1" spans="1:13">
      <c r="K1" t="s">
        <v>94</v>
      </c>
      <c r="L1" t="s">
        <v>95</v>
      </c>
      <c r="M1" t="s">
        <v>96</v>
      </c>
    </row>
    <row r="2" spans="1:13">
      <c r="K2">
        <v>1450</v>
      </c>
      <c r="L2">
        <v>1000</v>
      </c>
      <c r="M2">
        <f>K2-L2</f>
        <v>450</v>
      </c>
    </row>
    <row r="3" spans="1:13" ht="15.6">
      <c r="A3" s="334" t="s">
        <v>87</v>
      </c>
      <c r="K3">
        <v>1800</v>
      </c>
      <c r="L3">
        <v>1100</v>
      </c>
      <c r="M3">
        <f>K3-L3</f>
        <v>700</v>
      </c>
    </row>
    <row r="4" spans="1:13" ht="15.6">
      <c r="A4" s="334" t="s">
        <v>88</v>
      </c>
      <c r="K4">
        <v>1500</v>
      </c>
      <c r="L4">
        <v>750</v>
      </c>
      <c r="M4">
        <f>K4-L4</f>
        <v>750</v>
      </c>
    </row>
    <row r="5" spans="1:13" ht="15.6">
      <c r="A5" s="334" t="s">
        <v>89</v>
      </c>
      <c r="K5">
        <v>1400</v>
      </c>
      <c r="L5">
        <v>800</v>
      </c>
      <c r="M5">
        <f>K5-L5</f>
        <v>600</v>
      </c>
    </row>
    <row r="6" spans="1:13" ht="15.6">
      <c r="A6" s="334" t="s">
        <v>90</v>
      </c>
      <c r="M6">
        <f>K6-L6</f>
        <v>0</v>
      </c>
    </row>
    <row r="7" spans="1:13">
      <c r="A7" s="333"/>
    </row>
    <row r="8" spans="1:13" ht="15.6">
      <c r="A8" s="334" t="s">
        <v>91</v>
      </c>
      <c r="K8">
        <f>SUM(K2:K7)</f>
        <v>6150</v>
      </c>
      <c r="L8">
        <f>SUM(L2:L7)</f>
        <v>3650</v>
      </c>
    </row>
    <row r="9" spans="1:13" ht="15.6">
      <c r="A9" s="334" t="s">
        <v>92</v>
      </c>
    </row>
    <row r="10" spans="1:13" ht="15.6">
      <c r="A10" s="334" t="s">
        <v>93</v>
      </c>
    </row>
    <row r="11" spans="1:13" ht="15.6">
      <c r="A11" s="335">
        <v>3650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9" sqref="F8:F9"/>
    </sheetView>
    <sheetView workbookViewId="1"/>
  </sheetViews>
  <sheetFormatPr defaultColWidth="8.88671875" defaultRowHeight="14.4"/>
  <cols>
    <col min="1" max="1" width="29.44140625" customWidth="1"/>
    <col min="2" max="2" width="10.33203125" style="296" customWidth="1"/>
  </cols>
  <sheetData>
    <row r="1" spans="1:4">
      <c r="B1" s="444">
        <v>2010</v>
      </c>
    </row>
    <row r="2" spans="1:4">
      <c r="B2" s="296" t="s">
        <v>99</v>
      </c>
      <c r="C2" t="s">
        <v>100</v>
      </c>
      <c r="D2" t="s">
        <v>101</v>
      </c>
    </row>
    <row r="3" spans="1:4">
      <c r="A3" t="s">
        <v>98</v>
      </c>
      <c r="B3" s="296">
        <v>55400</v>
      </c>
      <c r="C3">
        <v>20</v>
      </c>
      <c r="D3" s="296">
        <f>B3/C3</f>
        <v>2770</v>
      </c>
    </row>
    <row r="4" spans="1:4">
      <c r="A4" t="s">
        <v>102</v>
      </c>
      <c r="B4" s="296">
        <v>19900</v>
      </c>
      <c r="C4">
        <v>11</v>
      </c>
      <c r="D4" s="296">
        <f>B4/C4</f>
        <v>1809.090909090909</v>
      </c>
    </row>
    <row r="5" spans="1:4">
      <c r="A5" t="s">
        <v>103</v>
      </c>
      <c r="B5" s="296">
        <v>41800</v>
      </c>
    </row>
    <row r="6" spans="1:4">
      <c r="A6" t="s">
        <v>104</v>
      </c>
      <c r="B6" s="336">
        <v>9800</v>
      </c>
    </row>
    <row r="7" spans="1:4" ht="19.5" customHeight="1">
      <c r="A7" s="337" t="s">
        <v>105</v>
      </c>
      <c r="B7" s="338">
        <f>SUM(B3:B6)</f>
        <v>126900</v>
      </c>
    </row>
    <row r="8" spans="1:4">
      <c r="A8" s="337" t="s">
        <v>106</v>
      </c>
      <c r="B8" s="338">
        <v>82071</v>
      </c>
    </row>
    <row r="9" spans="1:4">
      <c r="A9" s="337" t="s">
        <v>107</v>
      </c>
      <c r="B9" s="338">
        <v>9845</v>
      </c>
    </row>
    <row r="10" spans="1:4">
      <c r="A10" s="337" t="s">
        <v>108</v>
      </c>
      <c r="B10" s="338">
        <v>6351</v>
      </c>
    </row>
    <row r="11" spans="1:4">
      <c r="A11" s="337" t="s">
        <v>109</v>
      </c>
      <c r="B11" s="338">
        <f>6851+33264+1400</f>
        <v>41515</v>
      </c>
    </row>
    <row r="12" spans="1:4">
      <c r="A12" s="337" t="s">
        <v>110</v>
      </c>
      <c r="B12" s="338">
        <v>3575</v>
      </c>
    </row>
    <row r="13" spans="1:4">
      <c r="A13" s="337" t="s">
        <v>111</v>
      </c>
      <c r="B13" s="338">
        <v>36000</v>
      </c>
    </row>
    <row r="14" spans="1:4">
      <c r="A14" s="337" t="s">
        <v>112</v>
      </c>
      <c r="B14" s="338">
        <v>22940</v>
      </c>
    </row>
    <row r="15" spans="1:4" ht="26.25" customHeight="1">
      <c r="A15" s="337" t="s">
        <v>113</v>
      </c>
      <c r="B15" s="338">
        <f>SUM(B7:B14)</f>
        <v>329197</v>
      </c>
    </row>
    <row r="16" spans="1:4">
      <c r="B16" s="296" t="s">
        <v>178</v>
      </c>
    </row>
    <row r="17" spans="2:2">
      <c r="B17" s="296" t="s">
        <v>178</v>
      </c>
    </row>
    <row r="18" spans="2:2">
      <c r="B18" s="296" t="s">
        <v>178</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zoomScaleNormal="100" zoomScaleSheetLayoutView="100" workbookViewId="0">
      <pane ySplit="7" topLeftCell="A8" activePane="bottomLeft" state="frozen"/>
      <selection activeCell="B37" sqref="B37"/>
      <selection pane="bottomLeft" activeCell="B37" sqref="B37"/>
    </sheetView>
    <sheetView tabSelected="1" workbookViewId="1">
      <selection sqref="A1:F1"/>
    </sheetView>
  </sheetViews>
  <sheetFormatPr defaultColWidth="9.109375" defaultRowHeight="13.8"/>
  <cols>
    <col min="1" max="1" width="34.6640625" style="488" customWidth="1"/>
    <col min="2" max="2" width="15.44140625" style="488" hidden="1" customWidth="1"/>
    <col min="3" max="3" width="15.44140625" style="628" customWidth="1"/>
    <col min="4" max="4" width="13" style="628" customWidth="1"/>
    <col min="5" max="5" width="15.44140625" style="628" customWidth="1"/>
    <col min="6" max="6" width="40.88671875" style="488" customWidth="1"/>
    <col min="7" max="7" width="19" style="619" customWidth="1"/>
    <col min="8" max="9" width="9.109375" style="619"/>
    <col min="10" max="10" width="11" style="619" bestFit="1" customWidth="1"/>
    <col min="11" max="16384" width="9.109375" style="619"/>
  </cols>
  <sheetData>
    <row r="1" spans="1:10" ht="23.4">
      <c r="A1" s="743" t="s">
        <v>745</v>
      </c>
      <c r="B1" s="743"/>
      <c r="C1" s="743"/>
      <c r="D1" s="743"/>
      <c r="E1" s="743"/>
      <c r="F1" s="743"/>
    </row>
    <row r="2" spans="1:10" ht="23.4">
      <c r="A2" s="743" t="s">
        <v>781</v>
      </c>
      <c r="B2" s="743"/>
      <c r="C2" s="743"/>
      <c r="D2" s="743"/>
      <c r="E2" s="743"/>
      <c r="F2" s="743"/>
    </row>
    <row r="3" spans="1:10" ht="14.4" thickBot="1">
      <c r="A3" s="679"/>
      <c r="B3" s="679"/>
      <c r="C3" s="626"/>
      <c r="D3" s="626"/>
      <c r="E3" s="626"/>
      <c r="F3" s="668"/>
    </row>
    <row r="4" spans="1:10" ht="15" customHeight="1">
      <c r="A4" s="756" t="s">
        <v>715</v>
      </c>
      <c r="B4" s="757"/>
      <c r="C4" s="644" t="s">
        <v>716</v>
      </c>
      <c r="D4" s="750" t="s">
        <v>734</v>
      </c>
      <c r="E4" s="644" t="s">
        <v>716</v>
      </c>
      <c r="F4" s="753" t="s">
        <v>752</v>
      </c>
    </row>
    <row r="5" spans="1:10" ht="15" customHeight="1">
      <c r="A5" s="758" t="s">
        <v>714</v>
      </c>
      <c r="B5" s="759"/>
      <c r="C5" s="645" t="s">
        <v>717</v>
      </c>
      <c r="D5" s="751"/>
      <c r="E5" s="645" t="s">
        <v>776</v>
      </c>
      <c r="F5" s="754"/>
    </row>
    <row r="6" spans="1:10" ht="15" customHeight="1">
      <c r="A6" s="758" t="s">
        <v>732</v>
      </c>
      <c r="B6" s="759"/>
      <c r="C6" s="646">
        <v>40706</v>
      </c>
      <c r="D6" s="751"/>
      <c r="E6" s="646">
        <v>40798</v>
      </c>
      <c r="F6" s="754"/>
    </row>
    <row r="7" spans="1:10" ht="42" thickBot="1">
      <c r="A7" s="760" t="s">
        <v>718</v>
      </c>
      <c r="B7" s="761"/>
      <c r="C7" s="647" t="s">
        <v>733</v>
      </c>
      <c r="D7" s="752"/>
      <c r="E7" s="647" t="s">
        <v>810</v>
      </c>
      <c r="F7" s="755"/>
    </row>
    <row r="8" spans="1:10" ht="82.8">
      <c r="A8" s="629"/>
      <c r="B8" s="688"/>
      <c r="C8" s="664" t="s">
        <v>747</v>
      </c>
      <c r="D8" s="651"/>
      <c r="E8" s="664" t="s">
        <v>777</v>
      </c>
      <c r="F8" s="667"/>
    </row>
    <row r="9" spans="1:10">
      <c r="A9" s="629" t="s">
        <v>601</v>
      </c>
      <c r="B9" s="691" t="s">
        <v>753</v>
      </c>
      <c r="C9" s="663"/>
      <c r="D9" s="651"/>
      <c r="E9" s="651"/>
      <c r="F9" s="669"/>
    </row>
    <row r="10" spans="1:10" s="620" customFormat="1">
      <c r="A10" s="630" t="s">
        <v>149</v>
      </c>
      <c r="B10" s="692"/>
      <c r="C10" s="663"/>
      <c r="D10" s="652"/>
      <c r="E10" s="652"/>
      <c r="F10" s="670"/>
    </row>
    <row r="11" spans="1:10" s="620" customFormat="1" ht="12.75" customHeight="1">
      <c r="A11" s="631" t="s">
        <v>720</v>
      </c>
      <c r="B11" s="692" t="s">
        <v>760</v>
      </c>
      <c r="C11" s="653">
        <v>325000</v>
      </c>
      <c r="D11" s="684">
        <v>3648.390000000014</v>
      </c>
      <c r="E11" s="684">
        <f>D11+C11</f>
        <v>328648.39</v>
      </c>
      <c r="F11" s="700" t="s">
        <v>778</v>
      </c>
    </row>
    <row r="12" spans="1:10" s="620" customFormat="1">
      <c r="A12" s="633" t="s">
        <v>653</v>
      </c>
      <c r="B12" s="692" t="s">
        <v>760</v>
      </c>
      <c r="C12" s="655">
        <v>387676.54</v>
      </c>
      <c r="D12" s="685">
        <v>6168.6500000000815</v>
      </c>
      <c r="E12" s="685">
        <f t="shared" ref="E12:E19" si="0">D12+C12</f>
        <v>393845.19000000006</v>
      </c>
      <c r="F12" s="700" t="s">
        <v>779</v>
      </c>
      <c r="G12" s="621"/>
    </row>
    <row r="13" spans="1:10" s="620" customFormat="1">
      <c r="A13" s="631" t="s">
        <v>155</v>
      </c>
      <c r="B13" s="692" t="s">
        <v>760</v>
      </c>
      <c r="C13" s="655">
        <v>51569.87</v>
      </c>
      <c r="D13" s="685">
        <v>-2006.8499999999985</v>
      </c>
      <c r="E13" s="685">
        <f t="shared" si="0"/>
        <v>49563.020000000004</v>
      </c>
      <c r="F13" s="708" t="s">
        <v>780</v>
      </c>
    </row>
    <row r="14" spans="1:10" s="620" customFormat="1">
      <c r="A14" s="631" t="s">
        <v>617</v>
      </c>
      <c r="B14" s="692" t="s">
        <v>760</v>
      </c>
      <c r="C14" s="655">
        <v>1422</v>
      </c>
      <c r="D14" s="685">
        <v>1254.8800000000001</v>
      </c>
      <c r="E14" s="685">
        <f t="shared" si="0"/>
        <v>2676.88</v>
      </c>
      <c r="F14" s="670"/>
      <c r="I14" s="676"/>
    </row>
    <row r="15" spans="1:10" s="620" customFormat="1">
      <c r="A15" s="631" t="s">
        <v>706</v>
      </c>
      <c r="B15" s="692" t="s">
        <v>754</v>
      </c>
      <c r="C15" s="655">
        <v>102000</v>
      </c>
      <c r="D15" s="685">
        <v>41171.790000000008</v>
      </c>
      <c r="E15" s="685">
        <f t="shared" si="0"/>
        <v>143171.79</v>
      </c>
      <c r="F15" s="667"/>
      <c r="I15" s="676"/>
      <c r="J15" s="620" t="s">
        <v>178</v>
      </c>
    </row>
    <row r="16" spans="1:10" s="620" customFormat="1">
      <c r="A16" s="631" t="s">
        <v>707</v>
      </c>
      <c r="B16" s="692" t="s">
        <v>760</v>
      </c>
      <c r="C16" s="655">
        <v>3509.87</v>
      </c>
      <c r="D16" s="685">
        <v>0</v>
      </c>
      <c r="E16" s="685">
        <f t="shared" si="0"/>
        <v>3509.87</v>
      </c>
      <c r="F16" s="667"/>
      <c r="I16" s="676"/>
    </row>
    <row r="17" spans="1:10" s="620" customFormat="1">
      <c r="A17" s="631" t="s">
        <v>708</v>
      </c>
      <c r="B17" s="692" t="s">
        <v>760</v>
      </c>
      <c r="C17" s="655">
        <v>15064</v>
      </c>
      <c r="D17" s="685">
        <v>6315</v>
      </c>
      <c r="E17" s="685">
        <f t="shared" si="0"/>
        <v>21379</v>
      </c>
      <c r="F17" s="667"/>
      <c r="I17" s="676"/>
    </row>
    <row r="18" spans="1:10" s="620" customFormat="1">
      <c r="A18" s="631" t="s">
        <v>618</v>
      </c>
      <c r="B18" s="692" t="s">
        <v>760</v>
      </c>
      <c r="C18" s="655">
        <v>2569.2199999999998</v>
      </c>
      <c r="D18" s="685">
        <v>-649.2199999999998</v>
      </c>
      <c r="E18" s="685">
        <f t="shared" si="0"/>
        <v>1920</v>
      </c>
      <c r="F18" s="670"/>
      <c r="I18" s="676"/>
    </row>
    <row r="19" spans="1:10" s="625" customFormat="1">
      <c r="A19" s="631" t="s">
        <v>748</v>
      </c>
      <c r="B19" s="692" t="s">
        <v>754</v>
      </c>
      <c r="C19" s="660">
        <v>20000</v>
      </c>
      <c r="D19" s="687">
        <v>18000</v>
      </c>
      <c r="E19" s="660">
        <f t="shared" si="0"/>
        <v>38000</v>
      </c>
      <c r="F19" s="667" t="s">
        <v>751</v>
      </c>
      <c r="I19" s="676"/>
    </row>
    <row r="20" spans="1:10" s="620" customFormat="1">
      <c r="A20" s="630" t="s">
        <v>151</v>
      </c>
      <c r="B20" s="692"/>
      <c r="C20" s="652">
        <f>SUM(C11:C19)</f>
        <v>908811.5</v>
      </c>
      <c r="D20" s="652">
        <f>SUM(D11:D19)</f>
        <v>73902.640000000101</v>
      </c>
      <c r="E20" s="652">
        <f>SUM(E11:E19)</f>
        <v>982714.14000000013</v>
      </c>
      <c r="F20" s="667"/>
    </row>
    <row r="21" spans="1:10">
      <c r="A21" s="634" t="s">
        <v>178</v>
      </c>
      <c r="B21" s="692"/>
      <c r="C21" s="655"/>
      <c r="D21" s="655"/>
      <c r="E21" s="655"/>
      <c r="F21" s="667"/>
    </row>
    <row r="22" spans="1:10">
      <c r="A22" s="630" t="s">
        <v>174</v>
      </c>
      <c r="B22" s="692"/>
      <c r="C22" s="655"/>
      <c r="D22" s="655"/>
      <c r="E22" s="655"/>
      <c r="F22" s="667"/>
    </row>
    <row r="23" spans="1:10">
      <c r="A23" s="631" t="s">
        <v>644</v>
      </c>
      <c r="B23" s="692" t="s">
        <v>760</v>
      </c>
      <c r="C23" s="655">
        <v>-7500</v>
      </c>
      <c r="D23" s="685">
        <v>-579.63000000000011</v>
      </c>
      <c r="E23" s="685">
        <f t="shared" ref="E23:E26" si="1">D23+C23</f>
        <v>-8079.63</v>
      </c>
      <c r="F23" s="667"/>
    </row>
    <row r="24" spans="1:10" s="620" customFormat="1">
      <c r="A24" s="633" t="s">
        <v>148</v>
      </c>
      <c r="B24" s="692" t="s">
        <v>760</v>
      </c>
      <c r="C24" s="655">
        <v>-53127.71</v>
      </c>
      <c r="D24" s="685">
        <v>-5505.32</v>
      </c>
      <c r="E24" s="685">
        <f t="shared" si="1"/>
        <v>-58633.03</v>
      </c>
      <c r="F24" s="670"/>
    </row>
    <row r="25" spans="1:10" s="620" customFormat="1" ht="15.6">
      <c r="A25" s="631" t="s">
        <v>652</v>
      </c>
      <c r="B25" s="692" t="s">
        <v>760</v>
      </c>
      <c r="C25" s="681">
        <v>-20406.27</v>
      </c>
      <c r="D25" s="686">
        <v>-130.19999999999709</v>
      </c>
      <c r="E25" s="686">
        <f t="shared" si="1"/>
        <v>-20536.469999999998</v>
      </c>
      <c r="F25" s="670"/>
    </row>
    <row r="26" spans="1:10">
      <c r="A26" s="630" t="s">
        <v>156</v>
      </c>
      <c r="B26" s="692"/>
      <c r="C26" s="652">
        <f>SUM(C23:C25)</f>
        <v>-81033.98</v>
      </c>
      <c r="D26" s="652">
        <f>SUM(D23:D25)</f>
        <v>-6215.1499999999969</v>
      </c>
      <c r="E26" s="652">
        <f t="shared" si="1"/>
        <v>-87249.12999999999</v>
      </c>
      <c r="F26" s="667"/>
      <c r="G26" s="619" t="s">
        <v>178</v>
      </c>
    </row>
    <row r="27" spans="1:10">
      <c r="A27" s="630"/>
      <c r="B27" s="692"/>
      <c r="C27" s="658"/>
      <c r="D27" s="658"/>
      <c r="E27" s="658"/>
      <c r="F27" s="667"/>
    </row>
    <row r="28" spans="1:10">
      <c r="A28" s="636" t="s">
        <v>728</v>
      </c>
      <c r="B28" s="693"/>
      <c r="C28" s="659">
        <f>C26+C20</f>
        <v>827777.52</v>
      </c>
      <c r="D28" s="659">
        <f>D26+D20</f>
        <v>67687.490000000107</v>
      </c>
      <c r="E28" s="659">
        <f>E26+E20</f>
        <v>895465.01000000013</v>
      </c>
      <c r="F28" s="673"/>
    </row>
    <row r="29" spans="1:10">
      <c r="A29" s="637"/>
      <c r="B29" s="692"/>
      <c r="C29" s="655"/>
      <c r="D29" s="655"/>
      <c r="E29" s="655"/>
      <c r="F29" s="667"/>
    </row>
    <row r="30" spans="1:10" s="623" customFormat="1" ht="69">
      <c r="A30" s="665" t="s">
        <v>178</v>
      </c>
      <c r="B30" s="690"/>
      <c r="C30" s="666" t="s">
        <v>749</v>
      </c>
      <c r="D30" s="666"/>
      <c r="E30" s="666" t="s">
        <v>750</v>
      </c>
      <c r="F30" s="671"/>
    </row>
    <row r="31" spans="1:10">
      <c r="A31" s="637" t="s">
        <v>598</v>
      </c>
      <c r="B31" s="692"/>
      <c r="C31" s="651"/>
      <c r="D31" s="651"/>
      <c r="E31" s="651"/>
      <c r="F31" s="667"/>
    </row>
    <row r="32" spans="1:10">
      <c r="A32" s="630" t="s">
        <v>180</v>
      </c>
      <c r="B32" s="692"/>
      <c r="C32" s="655"/>
      <c r="D32" s="655"/>
      <c r="E32" s="655"/>
      <c r="F32" s="667"/>
      <c r="J32" s="619">
        <v>2835066</v>
      </c>
    </row>
    <row r="33" spans="1:11" ht="14.4">
      <c r="A33" s="631" t="s">
        <v>658</v>
      </c>
      <c r="B33" s="699" t="s">
        <v>761</v>
      </c>
      <c r="C33" s="653">
        <v>-64000</v>
      </c>
      <c r="D33" s="653">
        <v>0</v>
      </c>
      <c r="E33" s="653">
        <f t="shared" ref="E33:E54" si="2">D33+C33</f>
        <v>-64000</v>
      </c>
      <c r="F33" s="667" t="s">
        <v>696</v>
      </c>
      <c r="J33" s="628">
        <v>278599</v>
      </c>
      <c r="K33" s="703">
        <v>354867</v>
      </c>
    </row>
    <row r="34" spans="1:11">
      <c r="A34" s="631" t="s">
        <v>627</v>
      </c>
      <c r="B34" s="699" t="s">
        <v>761</v>
      </c>
      <c r="C34" s="655">
        <v>-30000</v>
      </c>
      <c r="D34" s="655">
        <v>0</v>
      </c>
      <c r="E34" s="655">
        <f t="shared" si="2"/>
        <v>-30000</v>
      </c>
      <c r="F34" s="667" t="s">
        <v>178</v>
      </c>
      <c r="J34" s="702">
        <f>J33/J32</f>
        <v>9.8268964461497549E-2</v>
      </c>
      <c r="K34" s="701">
        <f>K33/J32</f>
        <v>0.12517063094827421</v>
      </c>
    </row>
    <row r="35" spans="1:11">
      <c r="A35" s="631" t="s">
        <v>626</v>
      </c>
      <c r="B35" s="699" t="s">
        <v>761</v>
      </c>
      <c r="C35" s="655">
        <f>-(5700/2)*3</f>
        <v>-8550</v>
      </c>
      <c r="D35" s="655">
        <v>0</v>
      </c>
      <c r="E35" s="655">
        <f t="shared" si="2"/>
        <v>-8550</v>
      </c>
      <c r="F35" s="667" t="s">
        <v>178</v>
      </c>
      <c r="G35" s="619" t="s">
        <v>178</v>
      </c>
    </row>
    <row r="36" spans="1:11">
      <c r="A36" s="631" t="s">
        <v>661</v>
      </c>
      <c r="B36" s="699" t="s">
        <v>761</v>
      </c>
      <c r="C36" s="655">
        <v>-64000</v>
      </c>
      <c r="D36" s="655">
        <v>0</v>
      </c>
      <c r="E36" s="655">
        <f t="shared" si="2"/>
        <v>-64000</v>
      </c>
      <c r="F36" s="667" t="s">
        <v>178</v>
      </c>
    </row>
    <row r="37" spans="1:11">
      <c r="A37" s="631" t="s">
        <v>165</v>
      </c>
      <c r="B37" s="699" t="s">
        <v>761</v>
      </c>
      <c r="C37" s="655">
        <v>-46000</v>
      </c>
      <c r="D37" s="655">
        <v>18000</v>
      </c>
      <c r="E37" s="655">
        <f t="shared" si="2"/>
        <v>-28000</v>
      </c>
      <c r="F37" s="667" t="s">
        <v>793</v>
      </c>
    </row>
    <row r="38" spans="1:11">
      <c r="A38" s="631" t="s">
        <v>195</v>
      </c>
      <c r="B38" s="699" t="s">
        <v>761</v>
      </c>
      <c r="C38" s="655">
        <v>-4000</v>
      </c>
      <c r="D38" s="655">
        <v>0</v>
      </c>
      <c r="E38" s="655">
        <f t="shared" si="2"/>
        <v>-4000</v>
      </c>
      <c r="F38" s="667"/>
    </row>
    <row r="39" spans="1:11">
      <c r="A39" s="631" t="s">
        <v>166</v>
      </c>
      <c r="B39" s="699" t="s">
        <v>761</v>
      </c>
      <c r="C39" s="655">
        <v>-4600</v>
      </c>
      <c r="D39" s="655">
        <v>0</v>
      </c>
      <c r="E39" s="655">
        <f t="shared" si="2"/>
        <v>-4600</v>
      </c>
      <c r="F39" s="667"/>
    </row>
    <row r="40" spans="1:11">
      <c r="A40" s="631" t="s">
        <v>196</v>
      </c>
      <c r="B40" s="699" t="s">
        <v>761</v>
      </c>
      <c r="C40" s="655">
        <v>-9360</v>
      </c>
      <c r="D40" s="655">
        <v>0</v>
      </c>
      <c r="E40" s="655">
        <f t="shared" si="2"/>
        <v>-9360</v>
      </c>
      <c r="F40" s="667"/>
    </row>
    <row r="41" spans="1:11">
      <c r="A41" s="631" t="s">
        <v>719</v>
      </c>
      <c r="B41" s="699" t="s">
        <v>761</v>
      </c>
      <c r="C41" s="655">
        <v>-16050</v>
      </c>
      <c r="D41" s="655">
        <v>0</v>
      </c>
      <c r="E41" s="655">
        <f t="shared" si="2"/>
        <v>-16050</v>
      </c>
      <c r="F41" s="667"/>
    </row>
    <row r="42" spans="1:11">
      <c r="A42" s="631" t="s">
        <v>659</v>
      </c>
      <c r="B42" s="699" t="s">
        <v>761</v>
      </c>
      <c r="C42" s="655">
        <v>-20000</v>
      </c>
      <c r="D42" s="655">
        <v>0</v>
      </c>
      <c r="E42" s="655">
        <f t="shared" si="2"/>
        <v>-20000</v>
      </c>
      <c r="F42" s="667"/>
    </row>
    <row r="43" spans="1:11">
      <c r="A43" s="638" t="s">
        <v>660</v>
      </c>
      <c r="B43" s="699" t="s">
        <v>761</v>
      </c>
      <c r="C43" s="655">
        <v>-25526</v>
      </c>
      <c r="D43" s="655">
        <v>0</v>
      </c>
      <c r="E43" s="655">
        <f t="shared" si="2"/>
        <v>-25526</v>
      </c>
      <c r="F43" s="667"/>
    </row>
    <row r="44" spans="1:11">
      <c r="A44" s="638" t="s">
        <v>662</v>
      </c>
      <c r="B44" s="699" t="s">
        <v>761</v>
      </c>
      <c r="C44" s="655">
        <f>-3905-8000</f>
        <v>-11905</v>
      </c>
      <c r="D44" s="655">
        <v>8000</v>
      </c>
      <c r="E44" s="655">
        <f t="shared" si="2"/>
        <v>-3905</v>
      </c>
      <c r="F44" s="667" t="s">
        <v>740</v>
      </c>
    </row>
    <row r="45" spans="1:11">
      <c r="A45" s="631" t="s">
        <v>167</v>
      </c>
      <c r="B45" s="699" t="s">
        <v>761</v>
      </c>
      <c r="C45" s="655">
        <v>-2700</v>
      </c>
      <c r="D45" s="655">
        <v>0</v>
      </c>
      <c r="E45" s="655">
        <f t="shared" si="2"/>
        <v>-2700</v>
      </c>
      <c r="F45" s="667"/>
    </row>
    <row r="46" spans="1:11">
      <c r="A46" s="631" t="s">
        <v>625</v>
      </c>
      <c r="B46" s="699" t="s">
        <v>761</v>
      </c>
      <c r="C46" s="655">
        <v>-1800</v>
      </c>
      <c r="D46" s="655">
        <v>0</v>
      </c>
      <c r="E46" s="655">
        <f t="shared" si="2"/>
        <v>-1800</v>
      </c>
      <c r="F46" s="667"/>
    </row>
    <row r="47" spans="1:11">
      <c r="A47" s="639" t="s">
        <v>642</v>
      </c>
      <c r="B47" s="699" t="s">
        <v>761</v>
      </c>
      <c r="C47" s="655">
        <v>-3000</v>
      </c>
      <c r="D47" s="655">
        <v>0</v>
      </c>
      <c r="E47" s="655">
        <f t="shared" si="2"/>
        <v>-3000</v>
      </c>
      <c r="F47" s="667"/>
    </row>
    <row r="48" spans="1:11">
      <c r="A48" s="631" t="s">
        <v>10</v>
      </c>
      <c r="B48" s="699" t="s">
        <v>761</v>
      </c>
      <c r="C48" s="655">
        <v>-2750</v>
      </c>
      <c r="D48" s="655">
        <v>0</v>
      </c>
      <c r="E48" s="655">
        <f t="shared" si="2"/>
        <v>-2750</v>
      </c>
      <c r="F48" s="667"/>
    </row>
    <row r="49" spans="1:6">
      <c r="A49" s="631" t="s">
        <v>774</v>
      </c>
      <c r="B49" s="699" t="s">
        <v>761</v>
      </c>
      <c r="C49" s="655">
        <v>-5000</v>
      </c>
      <c r="D49" s="655">
        <v>0</v>
      </c>
      <c r="E49" s="655">
        <f t="shared" si="2"/>
        <v>-5000</v>
      </c>
      <c r="F49" s="667"/>
    </row>
    <row r="50" spans="1:6">
      <c r="A50" s="631" t="s">
        <v>668</v>
      </c>
      <c r="B50" s="699" t="s">
        <v>761</v>
      </c>
      <c r="C50" s="655">
        <v>-5000</v>
      </c>
      <c r="D50" s="655">
        <v>0</v>
      </c>
      <c r="E50" s="655">
        <f t="shared" si="2"/>
        <v>-5000</v>
      </c>
      <c r="F50" s="640"/>
    </row>
    <row r="51" spans="1:6">
      <c r="A51" s="631" t="s">
        <v>169</v>
      </c>
      <c r="B51" s="699" t="s">
        <v>761</v>
      </c>
      <c r="C51" s="655">
        <v>-5000</v>
      </c>
      <c r="D51" s="655">
        <v>0</v>
      </c>
      <c r="E51" s="655">
        <f t="shared" si="2"/>
        <v>-5000</v>
      </c>
      <c r="F51" s="640"/>
    </row>
    <row r="52" spans="1:6">
      <c r="A52" s="631" t="s">
        <v>170</v>
      </c>
      <c r="B52" s="699" t="s">
        <v>761</v>
      </c>
      <c r="C52" s="655">
        <v>-5000</v>
      </c>
      <c r="D52" s="655">
        <v>0</v>
      </c>
      <c r="E52" s="655">
        <f t="shared" si="2"/>
        <v>-5000</v>
      </c>
      <c r="F52" s="640"/>
    </row>
    <row r="53" spans="1:6">
      <c r="A53" s="631" t="s">
        <v>171</v>
      </c>
      <c r="B53" s="699" t="s">
        <v>761</v>
      </c>
      <c r="C53" s="655">
        <v>-5000</v>
      </c>
      <c r="D53" s="655">
        <v>0</v>
      </c>
      <c r="E53" s="655">
        <f t="shared" si="2"/>
        <v>-5000</v>
      </c>
      <c r="F53" s="640"/>
    </row>
    <row r="54" spans="1:6">
      <c r="A54" s="641" t="s">
        <v>700</v>
      </c>
      <c r="B54" s="699" t="s">
        <v>761</v>
      </c>
      <c r="C54" s="660">
        <v>-30000</v>
      </c>
      <c r="D54" s="660">
        <v>-147500</v>
      </c>
      <c r="E54" s="660">
        <f t="shared" si="2"/>
        <v>-177500</v>
      </c>
      <c r="F54" s="667" t="s">
        <v>782</v>
      </c>
    </row>
    <row r="55" spans="1:6" s="620" customFormat="1">
      <c r="A55" s="630" t="s">
        <v>713</v>
      </c>
      <c r="B55" s="699"/>
      <c r="C55" s="652">
        <f>SUM(C33:C54)</f>
        <v>-369241</v>
      </c>
      <c r="D55" s="652">
        <f>SUM(D33:D54)</f>
        <v>-121500</v>
      </c>
      <c r="E55" s="652">
        <f>SUM(E33:E54)</f>
        <v>-490741</v>
      </c>
      <c r="F55" s="667" t="s">
        <v>783</v>
      </c>
    </row>
    <row r="56" spans="1:6" s="620" customFormat="1">
      <c r="A56" s="642"/>
      <c r="B56" s="699"/>
      <c r="C56" s="655"/>
      <c r="D56" s="655"/>
      <c r="E56" s="655"/>
      <c r="F56" s="710"/>
    </row>
    <row r="57" spans="1:6">
      <c r="A57" s="630" t="s">
        <v>185</v>
      </c>
      <c r="B57" s="699"/>
      <c r="C57" s="655" t="s">
        <v>178</v>
      </c>
      <c r="D57" s="655" t="s">
        <v>178</v>
      </c>
      <c r="E57" s="655" t="s">
        <v>178</v>
      </c>
      <c r="F57" s="667"/>
    </row>
    <row r="58" spans="1:6">
      <c r="A58" s="631" t="s">
        <v>186</v>
      </c>
      <c r="B58" s="699" t="s">
        <v>761</v>
      </c>
      <c r="C58" s="655">
        <v>-15000</v>
      </c>
      <c r="D58" s="655">
        <v>0</v>
      </c>
      <c r="E58" s="655">
        <f t="shared" ref="E58:E62" si="3">D58+C58</f>
        <v>-15000</v>
      </c>
      <c r="F58" s="667"/>
    </row>
    <row r="59" spans="1:6">
      <c r="A59" s="631" t="s">
        <v>686</v>
      </c>
      <c r="B59" s="699" t="s">
        <v>761</v>
      </c>
      <c r="C59" s="655">
        <v>-19600</v>
      </c>
      <c r="D59" s="655">
        <v>0</v>
      </c>
      <c r="E59" s="655">
        <f t="shared" si="3"/>
        <v>-19600</v>
      </c>
      <c r="F59" s="667"/>
    </row>
    <row r="60" spans="1:6">
      <c r="A60" s="631" t="s">
        <v>576</v>
      </c>
      <c r="B60" s="699" t="s">
        <v>761</v>
      </c>
      <c r="C60" s="655">
        <v>-240000</v>
      </c>
      <c r="D60" s="655">
        <v>0</v>
      </c>
      <c r="E60" s="655">
        <f t="shared" si="3"/>
        <v>-240000</v>
      </c>
      <c r="F60" s="667"/>
    </row>
    <row r="61" spans="1:6">
      <c r="A61" s="631" t="s">
        <v>624</v>
      </c>
      <c r="B61" s="699" t="s">
        <v>761</v>
      </c>
      <c r="C61" s="655">
        <v>-9400</v>
      </c>
      <c r="D61" s="655">
        <v>0</v>
      </c>
      <c r="E61" s="655">
        <f t="shared" si="3"/>
        <v>-9400</v>
      </c>
      <c r="F61" s="667"/>
    </row>
    <row r="62" spans="1:6">
      <c r="A62" s="641" t="s">
        <v>187</v>
      </c>
      <c r="B62" s="699" t="s">
        <v>761</v>
      </c>
      <c r="C62" s="660">
        <v>-1000</v>
      </c>
      <c r="D62" s="660">
        <v>0</v>
      </c>
      <c r="E62" s="660">
        <f t="shared" si="3"/>
        <v>-1000</v>
      </c>
      <c r="F62" s="667"/>
    </row>
    <row r="63" spans="1:6" s="620" customFormat="1">
      <c r="A63" s="630" t="s">
        <v>721</v>
      </c>
      <c r="B63" s="699"/>
      <c r="C63" s="652">
        <f>SUM(C58:C62)</f>
        <v>-285000</v>
      </c>
      <c r="D63" s="652">
        <f>SUM(D58:D62)</f>
        <v>0</v>
      </c>
      <c r="E63" s="652">
        <f>SUM(E58:E62)</f>
        <v>-285000</v>
      </c>
      <c r="F63" s="670"/>
    </row>
    <row r="64" spans="1:6" s="620" customFormat="1">
      <c r="A64" s="630"/>
      <c r="B64" s="699"/>
      <c r="C64" s="652"/>
      <c r="D64" s="652"/>
      <c r="E64" s="652"/>
      <c r="F64" s="670"/>
    </row>
    <row r="65" spans="1:6">
      <c r="A65" s="630" t="s">
        <v>188</v>
      </c>
      <c r="B65" s="699"/>
      <c r="C65" s="655"/>
      <c r="D65" s="655"/>
      <c r="E65" s="655"/>
      <c r="F65" s="667"/>
    </row>
    <row r="66" spans="1:6">
      <c r="A66" s="631" t="s">
        <v>189</v>
      </c>
      <c r="B66" s="699" t="s">
        <v>761</v>
      </c>
      <c r="C66" s="655">
        <v>-1000</v>
      </c>
      <c r="D66" s="655">
        <v>0</v>
      </c>
      <c r="E66" s="655">
        <f t="shared" ref="E66:E69" si="4">D66+C66</f>
        <v>-1000</v>
      </c>
      <c r="F66" s="667"/>
    </row>
    <row r="67" spans="1:6">
      <c r="A67" s="631" t="s">
        <v>190</v>
      </c>
      <c r="B67" s="699" t="s">
        <v>761</v>
      </c>
      <c r="C67" s="655">
        <v>-2000</v>
      </c>
      <c r="D67" s="655">
        <v>0</v>
      </c>
      <c r="E67" s="655">
        <f t="shared" si="4"/>
        <v>-2000</v>
      </c>
      <c r="F67" s="667"/>
    </row>
    <row r="68" spans="1:6">
      <c r="A68" s="631" t="s">
        <v>81</v>
      </c>
      <c r="B68" s="699" t="s">
        <v>761</v>
      </c>
      <c r="C68" s="655">
        <v>-4000</v>
      </c>
      <c r="D68" s="655">
        <v>0</v>
      </c>
      <c r="E68" s="655">
        <f t="shared" si="4"/>
        <v>-4000</v>
      </c>
      <c r="F68" s="667"/>
    </row>
    <row r="69" spans="1:6">
      <c r="A69" s="641" t="s">
        <v>681</v>
      </c>
      <c r="B69" s="699" t="s">
        <v>761</v>
      </c>
      <c r="C69" s="660">
        <v>-4000</v>
      </c>
      <c r="D69" s="660">
        <v>0</v>
      </c>
      <c r="E69" s="660">
        <f t="shared" si="4"/>
        <v>-4000</v>
      </c>
      <c r="F69" s="667"/>
    </row>
    <row r="70" spans="1:6" s="620" customFormat="1">
      <c r="A70" s="630" t="s">
        <v>722</v>
      </c>
      <c r="B70" s="699"/>
      <c r="C70" s="652">
        <f>SUM(C66:C69)</f>
        <v>-11000</v>
      </c>
      <c r="D70" s="652">
        <f>SUM(D66:D69)</f>
        <v>0</v>
      </c>
      <c r="E70" s="652">
        <f>SUM(E66:E69)</f>
        <v>-11000</v>
      </c>
      <c r="F70" s="670"/>
    </row>
    <row r="71" spans="1:6" s="620" customFormat="1">
      <c r="A71" s="630"/>
      <c r="B71" s="699"/>
      <c r="C71" s="655"/>
      <c r="D71" s="655"/>
      <c r="E71" s="655"/>
      <c r="F71" s="670"/>
    </row>
    <row r="72" spans="1:6">
      <c r="A72" s="630" t="s">
        <v>191</v>
      </c>
      <c r="B72" s="699"/>
      <c r="C72" s="655"/>
      <c r="D72" s="655"/>
      <c r="E72" s="655"/>
      <c r="F72" s="667"/>
    </row>
    <row r="73" spans="1:6">
      <c r="A73" s="631" t="s">
        <v>192</v>
      </c>
      <c r="B73" s="699" t="s">
        <v>761</v>
      </c>
      <c r="C73" s="655">
        <v>-16000</v>
      </c>
      <c r="D73" s="655">
        <v>0</v>
      </c>
      <c r="E73" s="655">
        <f t="shared" ref="E73:E75" si="5">D73+C73</f>
        <v>-16000</v>
      </c>
      <c r="F73" s="667"/>
    </row>
    <row r="74" spans="1:6">
      <c r="A74" s="631" t="s">
        <v>193</v>
      </c>
      <c r="B74" s="699" t="s">
        <v>761</v>
      </c>
      <c r="C74" s="655">
        <v>-18300</v>
      </c>
      <c r="D74" s="655">
        <v>0</v>
      </c>
      <c r="E74" s="655">
        <f t="shared" si="5"/>
        <v>-18300</v>
      </c>
      <c r="F74" s="667"/>
    </row>
    <row r="75" spans="1:6">
      <c r="A75" s="641" t="s">
        <v>672</v>
      </c>
      <c r="B75" s="699" t="s">
        <v>761</v>
      </c>
      <c r="C75" s="660">
        <v>-1500</v>
      </c>
      <c r="D75" s="660">
        <v>0</v>
      </c>
      <c r="E75" s="660">
        <f t="shared" si="5"/>
        <v>-1500</v>
      </c>
      <c r="F75" s="667"/>
    </row>
    <row r="76" spans="1:6" s="620" customFormat="1">
      <c r="A76" s="630" t="s">
        <v>723</v>
      </c>
      <c r="B76" s="699"/>
      <c r="C76" s="652">
        <f>SUM(C73:C75)</f>
        <v>-35800</v>
      </c>
      <c r="D76" s="652">
        <f>SUM(D73:D75)</f>
        <v>0</v>
      </c>
      <c r="E76" s="652">
        <f>SUM(E73:E75)</f>
        <v>-35800</v>
      </c>
      <c r="F76" s="670"/>
    </row>
    <row r="77" spans="1:6" s="620" customFormat="1">
      <c r="A77" s="630"/>
      <c r="B77" s="699"/>
      <c r="C77" s="652"/>
      <c r="D77" s="652"/>
      <c r="E77" s="652"/>
      <c r="F77" s="670"/>
    </row>
    <row r="78" spans="1:6">
      <c r="A78" s="630" t="s">
        <v>194</v>
      </c>
      <c r="B78" s="699"/>
      <c r="C78" s="655"/>
      <c r="D78" s="655"/>
      <c r="E78" s="655"/>
      <c r="F78" s="667"/>
    </row>
    <row r="79" spans="1:6">
      <c r="A79" s="631" t="s">
        <v>663</v>
      </c>
      <c r="B79" s="699" t="s">
        <v>767</v>
      </c>
      <c r="C79" s="655">
        <v>-2600</v>
      </c>
      <c r="D79" s="655">
        <v>0</v>
      </c>
      <c r="E79" s="655">
        <f t="shared" ref="E79:E93" si="6">D79+C79</f>
        <v>-2600</v>
      </c>
      <c r="F79" s="667"/>
    </row>
    <row r="80" spans="1:6">
      <c r="A80" s="631" t="s">
        <v>579</v>
      </c>
      <c r="B80" s="699" t="s">
        <v>767</v>
      </c>
      <c r="C80" s="655">
        <v>-1200</v>
      </c>
      <c r="D80" s="655">
        <v>0</v>
      </c>
      <c r="E80" s="655">
        <f t="shared" si="6"/>
        <v>-1200</v>
      </c>
      <c r="F80" s="667"/>
    </row>
    <row r="81" spans="1:6">
      <c r="A81" s="631" t="s">
        <v>673</v>
      </c>
      <c r="B81" s="699" t="s">
        <v>767</v>
      </c>
      <c r="C81" s="655">
        <v>-800</v>
      </c>
      <c r="D81" s="655">
        <v>0</v>
      </c>
      <c r="E81" s="655">
        <f t="shared" si="6"/>
        <v>-800</v>
      </c>
      <c r="F81" s="667"/>
    </row>
    <row r="82" spans="1:6">
      <c r="A82" s="631" t="s">
        <v>116</v>
      </c>
      <c r="B82" s="699" t="s">
        <v>767</v>
      </c>
      <c r="C82" s="655">
        <v>-500</v>
      </c>
      <c r="D82" s="655">
        <v>0</v>
      </c>
      <c r="E82" s="655">
        <f t="shared" si="6"/>
        <v>-500</v>
      </c>
      <c r="F82" s="667"/>
    </row>
    <row r="83" spans="1:6">
      <c r="A83" s="631" t="s">
        <v>770</v>
      </c>
      <c r="B83" s="699" t="s">
        <v>767</v>
      </c>
      <c r="C83" s="655">
        <v>-500</v>
      </c>
      <c r="D83" s="655">
        <v>0</v>
      </c>
      <c r="E83" s="655">
        <f t="shared" si="6"/>
        <v>-500</v>
      </c>
      <c r="F83" s="667"/>
    </row>
    <row r="84" spans="1:6">
      <c r="A84" s="631" t="s">
        <v>120</v>
      </c>
      <c r="B84" s="699" t="s">
        <v>768</v>
      </c>
      <c r="C84" s="655">
        <v>-100</v>
      </c>
      <c r="D84" s="655">
        <v>0</v>
      </c>
      <c r="E84" s="655">
        <f t="shared" si="6"/>
        <v>-100</v>
      </c>
      <c r="F84" s="667"/>
    </row>
    <row r="85" spans="1:6">
      <c r="A85" s="631" t="s">
        <v>771</v>
      </c>
      <c r="B85" s="699" t="s">
        <v>767</v>
      </c>
      <c r="C85" s="655">
        <v>-500</v>
      </c>
      <c r="D85" s="655">
        <v>0</v>
      </c>
      <c r="E85" s="655">
        <f t="shared" si="6"/>
        <v>-500</v>
      </c>
      <c r="F85" s="667"/>
    </row>
    <row r="86" spans="1:6">
      <c r="A86" s="631" t="s">
        <v>274</v>
      </c>
      <c r="B86" s="699" t="s">
        <v>767</v>
      </c>
      <c r="C86" s="655">
        <v>-1000</v>
      </c>
      <c r="D86" s="655">
        <v>0</v>
      </c>
      <c r="E86" s="655">
        <f t="shared" si="6"/>
        <v>-1000</v>
      </c>
      <c r="F86" s="667"/>
    </row>
    <row r="87" spans="1:6">
      <c r="A87" s="631" t="s">
        <v>275</v>
      </c>
      <c r="B87" s="699" t="s">
        <v>767</v>
      </c>
      <c r="C87" s="655">
        <v>-1000</v>
      </c>
      <c r="D87" s="655">
        <v>0</v>
      </c>
      <c r="E87" s="655">
        <f t="shared" si="6"/>
        <v>-1000</v>
      </c>
      <c r="F87" s="667"/>
    </row>
    <row r="88" spans="1:6">
      <c r="A88" s="631" t="s">
        <v>772</v>
      </c>
      <c r="B88" s="699" t="s">
        <v>761</v>
      </c>
      <c r="C88" s="655">
        <v>-1800</v>
      </c>
      <c r="D88" s="655">
        <v>0</v>
      </c>
      <c r="E88" s="655">
        <f t="shared" si="6"/>
        <v>-1800</v>
      </c>
      <c r="F88" s="667"/>
    </row>
    <row r="89" spans="1:6">
      <c r="A89" s="631" t="s">
        <v>666</v>
      </c>
      <c r="B89" s="699" t="s">
        <v>761</v>
      </c>
      <c r="C89" s="655">
        <v>-4320</v>
      </c>
      <c r="D89" s="655">
        <v>0</v>
      </c>
      <c r="E89" s="655">
        <f t="shared" si="6"/>
        <v>-4320</v>
      </c>
      <c r="F89" s="667"/>
    </row>
    <row r="90" spans="1:6">
      <c r="A90" s="631" t="s">
        <v>773</v>
      </c>
      <c r="B90" s="699" t="s">
        <v>761</v>
      </c>
      <c r="C90" s="655">
        <v>-3010.08</v>
      </c>
      <c r="D90" s="655">
        <v>0</v>
      </c>
      <c r="E90" s="655">
        <f t="shared" si="6"/>
        <v>-3010.08</v>
      </c>
      <c r="F90" s="667"/>
    </row>
    <row r="91" spans="1:6" s="620" customFormat="1">
      <c r="A91" s="631" t="s">
        <v>567</v>
      </c>
      <c r="B91" s="699" t="s">
        <v>767</v>
      </c>
      <c r="C91" s="655">
        <v>-12500</v>
      </c>
      <c r="D91" s="655">
        <v>0</v>
      </c>
      <c r="E91" s="655">
        <f t="shared" si="6"/>
        <v>-12500</v>
      </c>
      <c r="F91" s="667"/>
    </row>
    <row r="92" spans="1:6" s="620" customFormat="1">
      <c r="A92" s="631" t="s">
        <v>569</v>
      </c>
      <c r="B92" s="699" t="s">
        <v>767</v>
      </c>
      <c r="C92" s="655">
        <v>-100</v>
      </c>
      <c r="D92" s="655">
        <v>0</v>
      </c>
      <c r="E92" s="655">
        <f t="shared" si="6"/>
        <v>-100</v>
      </c>
      <c r="F92" s="667"/>
    </row>
    <row r="93" spans="1:6">
      <c r="A93" s="641" t="s">
        <v>623</v>
      </c>
      <c r="B93" s="699" t="s">
        <v>761</v>
      </c>
      <c r="C93" s="660">
        <v>-750</v>
      </c>
      <c r="D93" s="660">
        <v>0</v>
      </c>
      <c r="E93" s="660">
        <f t="shared" si="6"/>
        <v>-750</v>
      </c>
      <c r="F93" s="667"/>
    </row>
    <row r="94" spans="1:6">
      <c r="A94" s="630" t="s">
        <v>726</v>
      </c>
      <c r="B94" s="699"/>
      <c r="C94" s="652">
        <f>SUM(C79:C93)</f>
        <v>-30680.080000000002</v>
      </c>
      <c r="D94" s="652">
        <f>SUM(D79:D93)</f>
        <v>0</v>
      </c>
      <c r="E94" s="652">
        <f>SUM(E79:E93)</f>
        <v>-30680.080000000002</v>
      </c>
      <c r="F94" s="667"/>
    </row>
    <row r="95" spans="1:6">
      <c r="A95" s="630"/>
      <c r="B95" s="699"/>
      <c r="C95" s="655"/>
      <c r="D95" s="655"/>
      <c r="E95" s="655"/>
      <c r="F95" s="667"/>
    </row>
    <row r="96" spans="1:6">
      <c r="A96" s="630" t="s">
        <v>121</v>
      </c>
      <c r="B96" s="699"/>
      <c r="C96" s="655"/>
      <c r="D96" s="655"/>
      <c r="E96" s="655"/>
      <c r="F96" s="667"/>
    </row>
    <row r="97" spans="1:6">
      <c r="A97" s="631" t="s">
        <v>82</v>
      </c>
      <c r="B97" s="699" t="s">
        <v>761</v>
      </c>
      <c r="C97" s="655">
        <v>-10000</v>
      </c>
      <c r="D97" s="655">
        <v>0</v>
      </c>
      <c r="E97" s="655">
        <f t="shared" ref="E97:E102" si="7">D97+C97</f>
        <v>-10000</v>
      </c>
      <c r="F97" s="667"/>
    </row>
    <row r="98" spans="1:6">
      <c r="A98" s="631" t="s">
        <v>126</v>
      </c>
      <c r="B98" s="699" t="s">
        <v>768</v>
      </c>
      <c r="C98" s="655">
        <v>-800</v>
      </c>
      <c r="D98" s="655">
        <v>0</v>
      </c>
      <c r="E98" s="655">
        <f t="shared" si="7"/>
        <v>-800</v>
      </c>
      <c r="F98" s="667"/>
    </row>
    <row r="99" spans="1:6">
      <c r="A99" s="631" t="s">
        <v>125</v>
      </c>
      <c r="B99" s="699" t="s">
        <v>768</v>
      </c>
      <c r="C99" s="655">
        <v>-2700</v>
      </c>
      <c r="D99" s="655">
        <v>0</v>
      </c>
      <c r="E99" s="655">
        <f t="shared" si="7"/>
        <v>-2700</v>
      </c>
      <c r="F99" s="667"/>
    </row>
    <row r="100" spans="1:6">
      <c r="A100" s="631" t="s">
        <v>64</v>
      </c>
      <c r="B100" s="699" t="s">
        <v>768</v>
      </c>
      <c r="C100" s="655">
        <v>-1200</v>
      </c>
      <c r="D100" s="655">
        <v>0</v>
      </c>
      <c r="E100" s="655">
        <f t="shared" si="7"/>
        <v>-1200</v>
      </c>
      <c r="F100" s="667"/>
    </row>
    <row r="101" spans="1:6">
      <c r="A101" s="631" t="s">
        <v>124</v>
      </c>
      <c r="B101" s="699" t="s">
        <v>768</v>
      </c>
      <c r="C101" s="655">
        <v>-500</v>
      </c>
      <c r="D101" s="655">
        <v>0</v>
      </c>
      <c r="E101" s="655">
        <f t="shared" si="7"/>
        <v>-500</v>
      </c>
      <c r="F101" s="667"/>
    </row>
    <row r="102" spans="1:6">
      <c r="A102" s="641" t="s">
        <v>664</v>
      </c>
      <c r="B102" s="699" t="s">
        <v>768</v>
      </c>
      <c r="C102" s="660">
        <v>-1000</v>
      </c>
      <c r="D102" s="660">
        <v>0</v>
      </c>
      <c r="E102" s="660">
        <f t="shared" si="7"/>
        <v>-1000</v>
      </c>
      <c r="F102" s="671"/>
    </row>
    <row r="103" spans="1:6" s="620" customFormat="1">
      <c r="A103" s="630" t="s">
        <v>727</v>
      </c>
      <c r="B103" s="699"/>
      <c r="C103" s="652">
        <f>SUM(C97:C102)</f>
        <v>-16200</v>
      </c>
      <c r="D103" s="652">
        <f>SUM(D97:D102)</f>
        <v>0</v>
      </c>
      <c r="E103" s="652">
        <f>SUM(E97:E102)</f>
        <v>-16200</v>
      </c>
      <c r="F103" s="670"/>
    </row>
    <row r="104" spans="1:6" s="620" customFormat="1">
      <c r="A104" s="630"/>
      <c r="B104" s="699"/>
      <c r="C104" s="655"/>
      <c r="D104" s="655"/>
      <c r="E104" s="655"/>
      <c r="F104" s="670"/>
    </row>
    <row r="105" spans="1:6">
      <c r="A105" s="630" t="s">
        <v>122</v>
      </c>
      <c r="B105" s="699"/>
      <c r="C105" s="655"/>
      <c r="D105" s="655"/>
      <c r="E105" s="655"/>
      <c r="F105" s="667"/>
    </row>
    <row r="106" spans="1:6">
      <c r="A106" s="631" t="s">
        <v>701</v>
      </c>
      <c r="B106" s="699" t="s">
        <v>768</v>
      </c>
      <c r="C106" s="655">
        <v>-15000</v>
      </c>
      <c r="D106" s="655">
        <v>0</v>
      </c>
      <c r="E106" s="655">
        <f t="shared" ref="E106:E108" si="8">D106+C106</f>
        <v>-15000</v>
      </c>
      <c r="F106" s="667"/>
    </row>
    <row r="107" spans="1:6">
      <c r="A107" s="631" t="s">
        <v>129</v>
      </c>
      <c r="B107" s="699" t="s">
        <v>768</v>
      </c>
      <c r="C107" s="655">
        <v>-4000</v>
      </c>
      <c r="D107" s="655">
        <v>0</v>
      </c>
      <c r="E107" s="655">
        <f t="shared" si="8"/>
        <v>-4000</v>
      </c>
      <c r="F107" s="667"/>
    </row>
    <row r="108" spans="1:6">
      <c r="A108" s="641" t="s">
        <v>123</v>
      </c>
      <c r="B108" s="699" t="s">
        <v>768</v>
      </c>
      <c r="C108" s="660">
        <v>-500</v>
      </c>
      <c r="D108" s="660">
        <v>0</v>
      </c>
      <c r="E108" s="660">
        <f t="shared" si="8"/>
        <v>-500</v>
      </c>
      <c r="F108" s="667"/>
    </row>
    <row r="109" spans="1:6" s="620" customFormat="1">
      <c r="A109" s="630" t="s">
        <v>729</v>
      </c>
      <c r="B109" s="692"/>
      <c r="C109" s="652">
        <f>SUM(C106:C108)</f>
        <v>-19500</v>
      </c>
      <c r="D109" s="652">
        <f>SUM(D106:D108)</f>
        <v>0</v>
      </c>
      <c r="E109" s="652">
        <f>SUM(E106:E108)</f>
        <v>-19500</v>
      </c>
      <c r="F109" s="670"/>
    </row>
    <row r="110" spans="1:6" s="620" customFormat="1">
      <c r="A110" s="630"/>
      <c r="B110" s="692"/>
      <c r="C110" s="655"/>
      <c r="D110" s="655"/>
      <c r="E110" s="655"/>
      <c r="F110" s="670"/>
    </row>
    <row r="111" spans="1:6">
      <c r="A111" s="630" t="s">
        <v>278</v>
      </c>
      <c r="B111" s="699" t="s">
        <v>767</v>
      </c>
      <c r="C111" s="652">
        <v>-5000</v>
      </c>
      <c r="D111" s="652">
        <v>0</v>
      </c>
      <c r="E111" s="652">
        <f>D111+C111</f>
        <v>-5000</v>
      </c>
      <c r="F111" s="667"/>
    </row>
    <row r="112" spans="1:6">
      <c r="A112" s="642"/>
      <c r="B112" s="692"/>
      <c r="C112" s="660"/>
      <c r="D112" s="660"/>
      <c r="E112" s="660"/>
      <c r="F112" s="667"/>
    </row>
    <row r="113" spans="1:9">
      <c r="A113" s="643" t="s">
        <v>127</v>
      </c>
      <c r="B113" s="693"/>
      <c r="C113" s="659">
        <f>C111+C109+C103+C94+C76+C70+C63+C55</f>
        <v>-772421.08000000007</v>
      </c>
      <c r="D113" s="659">
        <f>D111+D109+D103+D94+D76+D70+D63+D55</f>
        <v>-121500</v>
      </c>
      <c r="E113" s="659">
        <f>E111+E109+E103+E94+E76+E70+E63+E55</f>
        <v>-893921.08000000007</v>
      </c>
      <c r="F113" s="673"/>
      <c r="H113" s="619">
        <v>129500</v>
      </c>
    </row>
    <row r="114" spans="1:9" s="620" customFormat="1">
      <c r="A114" s="637"/>
      <c r="B114" s="692"/>
      <c r="C114" s="655"/>
      <c r="D114" s="655"/>
      <c r="E114" s="655"/>
      <c r="F114" s="670"/>
      <c r="H114" s="711">
        <f>H113/C113</f>
        <v>-0.16765466835783402</v>
      </c>
    </row>
    <row r="115" spans="1:9" s="620" customFormat="1" ht="14.4" thickBot="1">
      <c r="A115" s="648" t="s">
        <v>730</v>
      </c>
      <c r="B115" s="694"/>
      <c r="C115" s="661">
        <f>C28+C113</f>
        <v>55356.439999999944</v>
      </c>
      <c r="D115" s="661">
        <f>D28+D113</f>
        <v>-53812.509999999893</v>
      </c>
      <c r="E115" s="661">
        <f>E28+E113</f>
        <v>1543.9300000000512</v>
      </c>
      <c r="F115" s="674"/>
    </row>
    <row r="116" spans="1:9" hidden="1">
      <c r="A116" s="704"/>
      <c r="B116" s="688"/>
      <c r="C116" s="664"/>
      <c r="D116" s="705"/>
      <c r="E116" s="664"/>
      <c r="F116" s="706"/>
    </row>
    <row r="117" spans="1:9" hidden="1">
      <c r="A117" s="629" t="s">
        <v>769</v>
      </c>
      <c r="B117" s="689"/>
      <c r="C117" s="695"/>
      <c r="D117" s="651"/>
      <c r="E117" s="695"/>
      <c r="F117" s="667"/>
      <c r="G117" s="701"/>
    </row>
    <row r="118" spans="1:9" hidden="1">
      <c r="A118" s="629"/>
      <c r="B118" s="689"/>
      <c r="C118" s="695"/>
      <c r="D118" s="651"/>
      <c r="E118" s="695"/>
      <c r="F118" s="667"/>
    </row>
    <row r="119" spans="1:9" hidden="1">
      <c r="A119" s="629" t="s">
        <v>755</v>
      </c>
      <c r="B119" s="691" t="s">
        <v>753</v>
      </c>
      <c r="C119" s="663"/>
      <c r="D119" s="651"/>
      <c r="E119" s="651"/>
      <c r="F119" s="669"/>
    </row>
    <row r="120" spans="1:9" s="620" customFormat="1" ht="12.75" hidden="1" customHeight="1">
      <c r="A120" s="631" t="s">
        <v>756</v>
      </c>
      <c r="B120" s="692" t="s">
        <v>760</v>
      </c>
      <c r="C120" s="653">
        <f>SUMIFS(C$11:C$115,$B$11:$B$115,$B120)</f>
        <v>705777.52</v>
      </c>
      <c r="D120" s="653">
        <f>SUMIFS(D$11:D$115,$B$11:$B$115,$B120)</f>
        <v>8515.7000000001026</v>
      </c>
      <c r="E120" s="653">
        <f>SUMIFS(E$11:E$115,$B$11:$B$115,$B120)</f>
        <v>714293.22000000009</v>
      </c>
      <c r="F120" s="683"/>
    </row>
    <row r="121" spans="1:9" s="620" customFormat="1" hidden="1">
      <c r="A121" s="632" t="s">
        <v>757</v>
      </c>
      <c r="B121" s="696"/>
      <c r="C121" s="698">
        <f>C120/C$124</f>
        <v>0.85261740376810424</v>
      </c>
      <c r="D121" s="697"/>
      <c r="E121" s="698">
        <f>E120/E$124</f>
        <v>0.79767853799223265</v>
      </c>
      <c r="F121" s="682"/>
      <c r="G121" s="621"/>
    </row>
    <row r="122" spans="1:9" s="620" customFormat="1" hidden="1">
      <c r="A122" s="631" t="s">
        <v>758</v>
      </c>
      <c r="B122" s="692" t="s">
        <v>754</v>
      </c>
      <c r="C122" s="653">
        <f>SUMIFS(C$11:C$115,$B$11:$B$115,$B122)</f>
        <v>122000</v>
      </c>
      <c r="D122" s="653">
        <f>SUMIFS(D$11:D$115,$B$11:$B$115,$B122)</f>
        <v>59171.790000000008</v>
      </c>
      <c r="E122" s="653">
        <f>SUMIFS(E$11:E$115,$B$11:$B$115,$B122)</f>
        <v>181171.79</v>
      </c>
      <c r="F122" s="670"/>
    </row>
    <row r="123" spans="1:9" s="620" customFormat="1" hidden="1">
      <c r="A123" s="632" t="s">
        <v>757</v>
      </c>
      <c r="B123" s="696"/>
      <c r="C123" s="698">
        <f>C122/C$124</f>
        <v>0.14738259623189573</v>
      </c>
      <c r="D123" s="697"/>
      <c r="E123" s="698">
        <f>E122/E$124</f>
        <v>0.20232146200776732</v>
      </c>
      <c r="F123" s="670"/>
      <c r="I123" s="676"/>
    </row>
    <row r="124" spans="1:9" s="620" customFormat="1" hidden="1">
      <c r="A124" s="643" t="s">
        <v>759</v>
      </c>
      <c r="B124" s="693"/>
      <c r="C124" s="659">
        <f>C122+C120</f>
        <v>827777.52</v>
      </c>
      <c r="D124" s="659">
        <f>D122+D120</f>
        <v>67687.490000000107</v>
      </c>
      <c r="E124" s="659">
        <f>E122+E120</f>
        <v>895465.01000000013</v>
      </c>
      <c r="F124" s="673"/>
    </row>
    <row r="125" spans="1:9" hidden="1">
      <c r="A125" s="634" t="s">
        <v>178</v>
      </c>
      <c r="B125" s="692"/>
      <c r="C125" s="655"/>
      <c r="D125" s="655"/>
      <c r="E125" s="655"/>
      <c r="F125" s="667"/>
    </row>
    <row r="126" spans="1:9" hidden="1">
      <c r="A126" s="629" t="s">
        <v>762</v>
      </c>
      <c r="B126" s="691"/>
      <c r="C126" s="663"/>
      <c r="D126" s="651"/>
      <c r="E126" s="651"/>
      <c r="F126" s="669"/>
    </row>
    <row r="127" spans="1:9" s="620" customFormat="1" ht="12.75" hidden="1" customHeight="1">
      <c r="A127" s="631" t="s">
        <v>764</v>
      </c>
      <c r="B127" s="692" t="s">
        <v>761</v>
      </c>
      <c r="C127" s="653">
        <f>SUMIFS(C$11:C$115,$B$11:$B$115,$B127)</f>
        <v>-720921.08</v>
      </c>
      <c r="D127" s="653">
        <f>SUMIFS(D$11:D$115,$B$11:$B$115,$B127)</f>
        <v>-121500</v>
      </c>
      <c r="E127" s="653">
        <f>SUMIFS(E$11:E$115,$B$11:$B$115,$B127)</f>
        <v>-842421.08</v>
      </c>
      <c r="F127" s="683" t="s">
        <v>775</v>
      </c>
    </row>
    <row r="128" spans="1:9" s="620" customFormat="1" hidden="1">
      <c r="A128" s="632" t="s">
        <v>757</v>
      </c>
      <c r="B128" s="696"/>
      <c r="C128" s="698">
        <f>C127/C$133</f>
        <v>0.93332652184997333</v>
      </c>
      <c r="D128" s="698">
        <f>D127/D$133</f>
        <v>1</v>
      </c>
      <c r="E128" s="698">
        <f>E127/E$133</f>
        <v>0.942388650237446</v>
      </c>
      <c r="F128" s="682"/>
      <c r="G128" s="621"/>
    </row>
    <row r="129" spans="1:9" s="620" customFormat="1" ht="12.75" hidden="1" customHeight="1">
      <c r="A129" s="631" t="s">
        <v>765</v>
      </c>
      <c r="B129" s="692" t="s">
        <v>767</v>
      </c>
      <c r="C129" s="653">
        <f>SUMIFS(C$11:C$115,$B$11:$B$115,$B129)</f>
        <v>-25700</v>
      </c>
      <c r="D129" s="653">
        <f>SUMIFS(D$11:D$115,$B$11:$B$115,$B129)</f>
        <v>0</v>
      </c>
      <c r="E129" s="653">
        <f>SUMIFS(E$11:E$115,$B$11:$B$115,$B129)</f>
        <v>-25700</v>
      </c>
      <c r="F129" s="683"/>
    </row>
    <row r="130" spans="1:9" s="620" customFormat="1" hidden="1">
      <c r="A130" s="632" t="s">
        <v>757</v>
      </c>
      <c r="B130" s="696"/>
      <c r="C130" s="698">
        <f>C129/C$133</f>
        <v>3.3272007542828844E-2</v>
      </c>
      <c r="D130" s="698">
        <f>D129/D$133</f>
        <v>0</v>
      </c>
      <c r="E130" s="698">
        <f>E129/E$133</f>
        <v>2.8749741531992959E-2</v>
      </c>
      <c r="F130" s="682"/>
      <c r="G130" s="621"/>
    </row>
    <row r="131" spans="1:9" s="620" customFormat="1" hidden="1">
      <c r="A131" s="631" t="s">
        <v>766</v>
      </c>
      <c r="B131" s="692" t="s">
        <v>768</v>
      </c>
      <c r="C131" s="653">
        <f>SUMIFS(C$11:C$115,$B$11:$B$115,$B131)</f>
        <v>-25800</v>
      </c>
      <c r="D131" s="653">
        <f>SUMIFS(D$11:D$115,$B$11:$B$115,$B131)</f>
        <v>0</v>
      </c>
      <c r="E131" s="653">
        <f>SUMIFS(E$11:E$115,$B$11:$B$115,$B131)</f>
        <v>-25800</v>
      </c>
      <c r="F131" s="670"/>
    </row>
    <row r="132" spans="1:9" s="620" customFormat="1" hidden="1">
      <c r="A132" s="632" t="s">
        <v>757</v>
      </c>
      <c r="B132" s="696"/>
      <c r="C132" s="698">
        <f>C131/C$133</f>
        <v>3.3401470607197829E-2</v>
      </c>
      <c r="D132" s="698">
        <f>D131/D$133</f>
        <v>0</v>
      </c>
      <c r="E132" s="698">
        <f>E131/E$133</f>
        <v>2.8861608230561026E-2</v>
      </c>
      <c r="F132" s="670"/>
      <c r="I132" s="676"/>
    </row>
    <row r="133" spans="1:9" s="620" customFormat="1" ht="14.4" hidden="1" thickBot="1">
      <c r="A133" s="648" t="s">
        <v>763</v>
      </c>
      <c r="B133" s="694"/>
      <c r="C133" s="661">
        <f>C131+C129+C127</f>
        <v>-772421.08</v>
      </c>
      <c r="D133" s="661">
        <f>D131+D129+D127</f>
        <v>-121500</v>
      </c>
      <c r="E133" s="661">
        <f>E131+E129+E127</f>
        <v>-893921.08</v>
      </c>
      <c r="F133" s="707"/>
    </row>
    <row r="134" spans="1:9">
      <c r="A134" s="744"/>
      <c r="B134" s="745"/>
      <c r="C134" s="745"/>
      <c r="D134" s="745"/>
      <c r="E134" s="745"/>
      <c r="F134" s="746"/>
    </row>
    <row r="135" spans="1:9">
      <c r="A135" s="744"/>
      <c r="B135" s="745"/>
      <c r="C135" s="745"/>
      <c r="D135" s="745"/>
      <c r="E135" s="745"/>
      <c r="F135" s="746"/>
    </row>
    <row r="136" spans="1:9" ht="38.25" customHeight="1">
      <c r="A136" s="744" t="s">
        <v>4</v>
      </c>
      <c r="B136" s="745"/>
      <c r="C136" s="745"/>
      <c r="D136" s="745"/>
      <c r="E136" s="745"/>
      <c r="F136" s="746"/>
    </row>
    <row r="137" spans="1:9" ht="58.5" customHeight="1">
      <c r="A137" s="744" t="s">
        <v>703</v>
      </c>
      <c r="B137" s="745"/>
      <c r="C137" s="745"/>
      <c r="D137" s="745"/>
      <c r="E137" s="745"/>
      <c r="F137" s="746"/>
    </row>
    <row r="138" spans="1:9" ht="71.25" customHeight="1" thickBot="1">
      <c r="A138" s="747" t="s">
        <v>704</v>
      </c>
      <c r="B138" s="748"/>
      <c r="C138" s="748"/>
      <c r="D138" s="748"/>
      <c r="E138" s="748"/>
      <c r="F138" s="749"/>
    </row>
    <row r="139" spans="1:9">
      <c r="A139" s="619"/>
      <c r="B139" s="619"/>
    </row>
    <row r="140" spans="1:9">
      <c r="A140" s="619"/>
      <c r="B140" s="619"/>
    </row>
    <row r="145" spans="1:11" s="628" customFormat="1">
      <c r="A145" s="624"/>
      <c r="B145" s="624"/>
      <c r="F145" s="488"/>
      <c r="G145" s="619"/>
      <c r="H145" s="619"/>
      <c r="I145" s="619"/>
      <c r="J145" s="619"/>
      <c r="K145" s="619"/>
    </row>
  </sheetData>
  <sheetProtection selectLockedCells="1" selectUnlockedCells="1"/>
  <mergeCells count="12">
    <mergeCell ref="A134:F135"/>
    <mergeCell ref="A136:F136"/>
    <mergeCell ref="A137:F137"/>
    <mergeCell ref="A138:F138"/>
    <mergeCell ref="A1:F1"/>
    <mergeCell ref="A2:F2"/>
    <mergeCell ref="D4:D7"/>
    <mergeCell ref="F4:F7"/>
    <mergeCell ref="A4:B4"/>
    <mergeCell ref="A5:B5"/>
    <mergeCell ref="A6:B6"/>
    <mergeCell ref="A7:B7"/>
  </mergeCells>
  <pageMargins left="0.25" right="0.25" top="0.25" bottom="0.5" header="0.25" footer="0.25"/>
  <pageSetup scale="75" fitToHeight="3" orientation="portrait" r:id="rId1"/>
  <headerFooter>
    <oddFooter>&amp;RPage &amp;P of &amp;N</oddFooter>
  </headerFooter>
  <rowBreaks count="2" manualBreakCount="2">
    <brk id="56" max="4" man="1"/>
    <brk id="11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zoomScaleNormal="100" zoomScaleSheetLayoutView="100" workbookViewId="0">
      <selection activeCell="K13" sqref="K13:M51"/>
    </sheetView>
    <sheetView workbookViewId="1">
      <selection sqref="A1:E1"/>
    </sheetView>
  </sheetViews>
  <sheetFormatPr defaultColWidth="9.109375" defaultRowHeight="13.8"/>
  <cols>
    <col min="1" max="1" width="42.109375" style="488" bestFit="1" customWidth="1"/>
    <col min="2" max="4" width="15.44140625" style="628" customWidth="1"/>
    <col min="5" max="5" width="40.5546875" style="488" customWidth="1"/>
    <col min="6" max="6" width="19" style="619" customWidth="1"/>
    <col min="7" max="11" width="9.109375" style="619"/>
    <col min="12" max="12" width="11.109375" style="619" bestFit="1" customWidth="1"/>
    <col min="13" max="16384" width="9.109375" style="619"/>
  </cols>
  <sheetData>
    <row r="1" spans="1:8" ht="23.4">
      <c r="A1" s="743" t="s">
        <v>745</v>
      </c>
      <c r="B1" s="743"/>
      <c r="C1" s="743"/>
      <c r="D1" s="743"/>
      <c r="E1" s="743"/>
    </row>
    <row r="2" spans="1:8" ht="23.4">
      <c r="A2" s="743" t="s">
        <v>744</v>
      </c>
      <c r="B2" s="743"/>
      <c r="C2" s="743"/>
      <c r="D2" s="743"/>
      <c r="E2" s="743"/>
    </row>
    <row r="3" spans="1:8" ht="14.4" thickBot="1">
      <c r="A3" s="618"/>
      <c r="B3" s="626"/>
      <c r="C3" s="626"/>
      <c r="D3" s="626"/>
      <c r="E3" s="668"/>
    </row>
    <row r="4" spans="1:8" ht="15" customHeight="1">
      <c r="A4" s="649" t="s">
        <v>715</v>
      </c>
      <c r="B4" s="644" t="s">
        <v>716</v>
      </c>
      <c r="C4" s="750" t="s">
        <v>734</v>
      </c>
      <c r="D4" s="644" t="s">
        <v>716</v>
      </c>
      <c r="E4" s="753" t="s">
        <v>176</v>
      </c>
    </row>
    <row r="5" spans="1:8">
      <c r="A5" s="650" t="s">
        <v>714</v>
      </c>
      <c r="B5" s="645" t="s">
        <v>717</v>
      </c>
      <c r="C5" s="751"/>
      <c r="D5" s="645" t="s">
        <v>735</v>
      </c>
      <c r="E5" s="754"/>
    </row>
    <row r="6" spans="1:8">
      <c r="A6" s="650" t="s">
        <v>732</v>
      </c>
      <c r="B6" s="646">
        <v>40706</v>
      </c>
      <c r="C6" s="751"/>
      <c r="D6" s="646">
        <v>40794</v>
      </c>
      <c r="E6" s="754"/>
    </row>
    <row r="7" spans="1:8" ht="55.8" thickBot="1">
      <c r="A7" s="662" t="s">
        <v>718</v>
      </c>
      <c r="B7" s="647" t="s">
        <v>733</v>
      </c>
      <c r="C7" s="752"/>
      <c r="D7" s="647" t="s">
        <v>736</v>
      </c>
      <c r="E7" s="755"/>
    </row>
    <row r="8" spans="1:8" ht="55.2">
      <c r="A8" s="629"/>
      <c r="B8" s="664" t="s">
        <v>738</v>
      </c>
      <c r="C8" s="651"/>
      <c r="D8" s="664" t="s">
        <v>742</v>
      </c>
      <c r="E8" s="667"/>
    </row>
    <row r="9" spans="1:8">
      <c r="A9" s="629" t="s">
        <v>601</v>
      </c>
      <c r="B9" s="663"/>
      <c r="C9" s="651"/>
      <c r="D9" s="651"/>
      <c r="E9" s="669"/>
    </row>
    <row r="10" spans="1:8" s="620" customFormat="1">
      <c r="A10" s="630" t="s">
        <v>149</v>
      </c>
      <c r="B10" s="663"/>
      <c r="C10" s="652"/>
      <c r="D10" s="652"/>
      <c r="E10" s="670"/>
    </row>
    <row r="11" spans="1:8" s="620" customFormat="1">
      <c r="A11" s="631" t="s">
        <v>720</v>
      </c>
      <c r="B11" s="653">
        <v>295000</v>
      </c>
      <c r="C11" s="653">
        <f>273100-B11</f>
        <v>-21900</v>
      </c>
      <c r="D11" s="653">
        <f>C11+B11</f>
        <v>273100</v>
      </c>
      <c r="E11" s="763" t="s">
        <v>743</v>
      </c>
    </row>
    <row r="12" spans="1:8" s="625" customFormat="1">
      <c r="A12" s="632" t="s">
        <v>654</v>
      </c>
      <c r="B12" s="654">
        <v>30000</v>
      </c>
      <c r="C12" s="654">
        <v>-30000</v>
      </c>
      <c r="D12" s="654">
        <f t="shared" ref="D12:D21" si="0">C12+B12</f>
        <v>0</v>
      </c>
      <c r="E12" s="763"/>
    </row>
    <row r="13" spans="1:8" s="620" customFormat="1">
      <c r="A13" s="633" t="s">
        <v>653</v>
      </c>
      <c r="B13" s="655">
        <v>382676.54</v>
      </c>
      <c r="C13" s="653">
        <f>386169-B13</f>
        <v>3492.460000000021</v>
      </c>
      <c r="D13" s="655">
        <f t="shared" si="0"/>
        <v>386169</v>
      </c>
      <c r="E13" s="762"/>
      <c r="F13" s="621"/>
    </row>
    <row r="14" spans="1:8" s="625" customFormat="1">
      <c r="A14" s="632" t="s">
        <v>654</v>
      </c>
      <c r="B14" s="654">
        <v>5000</v>
      </c>
      <c r="C14" s="654">
        <v>-5000</v>
      </c>
      <c r="D14" s="654">
        <f t="shared" si="0"/>
        <v>0</v>
      </c>
      <c r="E14" s="762"/>
    </row>
    <row r="15" spans="1:8" s="620" customFormat="1">
      <c r="A15" s="631" t="s">
        <v>155</v>
      </c>
      <c r="B15" s="655">
        <v>51569.87</v>
      </c>
      <c r="C15" s="655">
        <f>46040+3215-B15</f>
        <v>-2314.8700000000026</v>
      </c>
      <c r="D15" s="655">
        <f t="shared" si="0"/>
        <v>49255</v>
      </c>
      <c r="E15" s="670"/>
    </row>
    <row r="16" spans="1:8" s="620" customFormat="1">
      <c r="A16" s="631" t="s">
        <v>617</v>
      </c>
      <c r="B16" s="655">
        <v>1422</v>
      </c>
      <c r="C16" s="655">
        <v>693</v>
      </c>
      <c r="D16" s="675">
        <f t="shared" si="0"/>
        <v>2115</v>
      </c>
      <c r="E16" s="670"/>
      <c r="H16" s="676"/>
    </row>
    <row r="17" spans="1:12" s="620" customFormat="1">
      <c r="A17" s="631" t="s">
        <v>706</v>
      </c>
      <c r="B17" s="655">
        <v>102000</v>
      </c>
      <c r="C17" s="655">
        <v>41172</v>
      </c>
      <c r="D17" s="675">
        <f t="shared" si="0"/>
        <v>143172</v>
      </c>
      <c r="E17" s="667"/>
      <c r="H17" s="676"/>
      <c r="I17" s="620" t="s">
        <v>178</v>
      </c>
    </row>
    <row r="18" spans="1:12" s="620" customFormat="1">
      <c r="A18" s="631" t="s">
        <v>707</v>
      </c>
      <c r="B18" s="655">
        <v>3509.87</v>
      </c>
      <c r="C18" s="655">
        <v>0</v>
      </c>
      <c r="D18" s="675">
        <f t="shared" si="0"/>
        <v>3509.87</v>
      </c>
      <c r="E18" s="667"/>
      <c r="H18" s="676"/>
    </row>
    <row r="19" spans="1:12" s="620" customFormat="1">
      <c r="A19" s="631" t="s">
        <v>708</v>
      </c>
      <c r="B19" s="655">
        <v>15064</v>
      </c>
      <c r="C19" s="655">
        <v>6315</v>
      </c>
      <c r="D19" s="675">
        <f t="shared" si="0"/>
        <v>21379</v>
      </c>
      <c r="E19" s="667"/>
      <c r="H19" s="676"/>
    </row>
    <row r="20" spans="1:12" s="620" customFormat="1">
      <c r="A20" s="631" t="s">
        <v>618</v>
      </c>
      <c r="B20" s="655">
        <v>2569.2199999999998</v>
      </c>
      <c r="C20" s="655">
        <f>417+1920-B20</f>
        <v>-232.2199999999998</v>
      </c>
      <c r="D20" s="655">
        <f t="shared" si="0"/>
        <v>2337</v>
      </c>
      <c r="E20" s="670"/>
      <c r="H20" s="676"/>
      <c r="L20" s="627">
        <v>905187</v>
      </c>
    </row>
    <row r="21" spans="1:12" s="625" customFormat="1">
      <c r="A21" s="632" t="s">
        <v>731</v>
      </c>
      <c r="B21" s="656">
        <v>20000</v>
      </c>
      <c r="C21" s="656">
        <v>18000</v>
      </c>
      <c r="D21" s="656">
        <f t="shared" si="0"/>
        <v>38000</v>
      </c>
      <c r="E21" s="671" t="s">
        <v>746</v>
      </c>
      <c r="H21" s="676"/>
      <c r="L21" s="677">
        <v>-20956</v>
      </c>
    </row>
    <row r="22" spans="1:12" s="620" customFormat="1">
      <c r="A22" s="630" t="s">
        <v>151</v>
      </c>
      <c r="B22" s="652">
        <f>SUM(B11:B21)</f>
        <v>908811.5</v>
      </c>
      <c r="C22" s="652">
        <f>SUM(C11:C21)</f>
        <v>10225.370000000019</v>
      </c>
      <c r="D22" s="652">
        <f>SUM(D11:D21)</f>
        <v>919036.87</v>
      </c>
      <c r="E22" s="667"/>
      <c r="L22" s="627">
        <v>-56635</v>
      </c>
    </row>
    <row r="23" spans="1:12">
      <c r="A23" s="634" t="s">
        <v>178</v>
      </c>
      <c r="B23" s="655"/>
      <c r="C23" s="655"/>
      <c r="D23" s="655"/>
      <c r="E23" s="667"/>
      <c r="L23" s="628">
        <v>-6926.9</v>
      </c>
    </row>
    <row r="24" spans="1:12">
      <c r="A24" s="630" t="s">
        <v>174</v>
      </c>
      <c r="B24" s="655"/>
      <c r="C24" s="655"/>
      <c r="D24" s="655"/>
      <c r="E24" s="667"/>
      <c r="L24" s="628">
        <f>SUM(L20:L23)</f>
        <v>820669.1</v>
      </c>
    </row>
    <row r="25" spans="1:12">
      <c r="A25" s="631" t="s">
        <v>644</v>
      </c>
      <c r="B25" s="655">
        <v>-7500</v>
      </c>
      <c r="C25" s="655">
        <f>-6927-B25</f>
        <v>573</v>
      </c>
      <c r="D25" s="655">
        <f t="shared" ref="D25:D29" si="1">C25+B25</f>
        <v>-6927</v>
      </c>
      <c r="E25" s="667" t="s">
        <v>178</v>
      </c>
      <c r="L25" s="628">
        <f>C21</f>
        <v>18000</v>
      </c>
    </row>
    <row r="26" spans="1:12" s="620" customFormat="1">
      <c r="A26" s="633" t="s">
        <v>148</v>
      </c>
      <c r="B26" s="655">
        <v>-52127.71</v>
      </c>
      <c r="C26" s="655">
        <f>-56634.61-B26</f>
        <v>-4506.9000000000015</v>
      </c>
      <c r="D26" s="655">
        <f t="shared" si="1"/>
        <v>-56634.61</v>
      </c>
      <c r="E26" s="670"/>
      <c r="L26" s="627">
        <f>L25+L24</f>
        <v>838669.1</v>
      </c>
    </row>
    <row r="27" spans="1:12" s="622" customFormat="1">
      <c r="A27" s="635" t="s">
        <v>655</v>
      </c>
      <c r="B27" s="657">
        <v>-1000</v>
      </c>
      <c r="C27" s="657">
        <v>1000</v>
      </c>
      <c r="D27" s="657">
        <f t="shared" si="1"/>
        <v>0</v>
      </c>
      <c r="E27" s="672"/>
      <c r="L27" s="678">
        <v>24150</v>
      </c>
    </row>
    <row r="28" spans="1:12" s="620" customFormat="1" ht="15.6">
      <c r="A28" s="631" t="s">
        <v>652</v>
      </c>
      <c r="B28" s="681">
        <v>-20406.27</v>
      </c>
      <c r="C28" s="681">
        <f>-20956-B28</f>
        <v>-549.72999999999956</v>
      </c>
      <c r="D28" s="681">
        <f t="shared" si="1"/>
        <v>-20956</v>
      </c>
      <c r="E28" s="670"/>
      <c r="L28" s="676">
        <f>L26-L27</f>
        <v>814519.1</v>
      </c>
    </row>
    <row r="29" spans="1:12">
      <c r="A29" s="630" t="s">
        <v>156</v>
      </c>
      <c r="B29" s="652">
        <f>SUM(B25:B28)</f>
        <v>-81033.98</v>
      </c>
      <c r="C29" s="652">
        <v>0</v>
      </c>
      <c r="D29" s="652">
        <f t="shared" si="1"/>
        <v>-81033.98</v>
      </c>
      <c r="E29" s="667"/>
      <c r="F29" s="619" t="s">
        <v>178</v>
      </c>
    </row>
    <row r="30" spans="1:12">
      <c r="A30" s="630"/>
      <c r="B30" s="658"/>
      <c r="C30" s="658"/>
      <c r="D30" s="658"/>
      <c r="E30" s="667"/>
    </row>
    <row r="31" spans="1:12">
      <c r="A31" s="636" t="s">
        <v>728</v>
      </c>
      <c r="B31" s="659">
        <f>B29+B22</f>
        <v>827777.52</v>
      </c>
      <c r="C31" s="659">
        <f>C29+C22</f>
        <v>10225.370000000019</v>
      </c>
      <c r="D31" s="659">
        <f>D29+D22</f>
        <v>838002.89</v>
      </c>
      <c r="E31" s="673"/>
    </row>
    <row r="32" spans="1:12">
      <c r="A32" s="637"/>
      <c r="B32" s="655"/>
      <c r="C32" s="655"/>
      <c r="D32" s="655"/>
      <c r="E32" s="667"/>
    </row>
    <row r="33" spans="1:11" s="623" customFormat="1" ht="55.2">
      <c r="A33" s="665" t="s">
        <v>178</v>
      </c>
      <c r="B33" s="666" t="s">
        <v>739</v>
      </c>
      <c r="C33" s="666"/>
      <c r="D33" s="666" t="s">
        <v>739</v>
      </c>
      <c r="E33" s="671"/>
    </row>
    <row r="34" spans="1:11">
      <c r="A34" s="637" t="s">
        <v>598</v>
      </c>
      <c r="B34" s="651"/>
      <c r="C34" s="651"/>
      <c r="D34" s="651"/>
      <c r="E34" s="667"/>
    </row>
    <row r="35" spans="1:11">
      <c r="A35" s="630" t="s">
        <v>180</v>
      </c>
      <c r="B35" s="655"/>
      <c r="C35" s="655"/>
      <c r="D35" s="655"/>
      <c r="E35" s="667"/>
    </row>
    <row r="36" spans="1:11">
      <c r="A36" s="631" t="s">
        <v>658</v>
      </c>
      <c r="B36" s="653">
        <v>-64000</v>
      </c>
      <c r="C36" s="653">
        <v>0</v>
      </c>
      <c r="D36" s="653">
        <f t="shared" ref="D36:D57" si="2">C36+B36</f>
        <v>-64000</v>
      </c>
      <c r="E36" s="667" t="s">
        <v>696</v>
      </c>
      <c r="G36" s="619">
        <v>-1</v>
      </c>
    </row>
    <row r="37" spans="1:11">
      <c r="A37" s="631" t="s">
        <v>627</v>
      </c>
      <c r="B37" s="655">
        <v>-30000</v>
      </c>
      <c r="C37" s="655">
        <v>0</v>
      </c>
      <c r="D37" s="655">
        <f t="shared" si="2"/>
        <v>-30000</v>
      </c>
      <c r="E37" s="667" t="s">
        <v>178</v>
      </c>
    </row>
    <row r="38" spans="1:11">
      <c r="A38" s="631" t="s">
        <v>626</v>
      </c>
      <c r="B38" s="655">
        <f>-(5700/2)*3</f>
        <v>-8550</v>
      </c>
      <c r="C38" s="655">
        <v>0</v>
      </c>
      <c r="D38" s="655">
        <f t="shared" si="2"/>
        <v>-8550</v>
      </c>
      <c r="E38" s="667" t="s">
        <v>178</v>
      </c>
      <c r="F38" s="619" t="s">
        <v>178</v>
      </c>
    </row>
    <row r="39" spans="1:11">
      <c r="A39" s="631" t="s">
        <v>661</v>
      </c>
      <c r="B39" s="655">
        <v>-64000</v>
      </c>
      <c r="C39" s="655">
        <v>0</v>
      </c>
      <c r="D39" s="655">
        <f t="shared" si="2"/>
        <v>-64000</v>
      </c>
      <c r="E39" s="667" t="s">
        <v>178</v>
      </c>
    </row>
    <row r="40" spans="1:11">
      <c r="A40" s="631" t="s">
        <v>165</v>
      </c>
      <c r="B40" s="655">
        <v>-46000</v>
      </c>
      <c r="C40" s="655">
        <v>18000</v>
      </c>
      <c r="D40" s="655">
        <f t="shared" si="2"/>
        <v>-28000</v>
      </c>
      <c r="E40" s="667" t="s">
        <v>737</v>
      </c>
      <c r="K40" s="619">
        <v>171500</v>
      </c>
    </row>
    <row r="41" spans="1:11">
      <c r="A41" s="631" t="s">
        <v>195</v>
      </c>
      <c r="B41" s="655">
        <v>-4000</v>
      </c>
      <c r="C41" s="655">
        <v>0</v>
      </c>
      <c r="D41" s="655">
        <f t="shared" si="2"/>
        <v>-4000</v>
      </c>
      <c r="E41" s="667" t="s">
        <v>178</v>
      </c>
      <c r="K41" s="680">
        <v>-18000</v>
      </c>
    </row>
    <row r="42" spans="1:11">
      <c r="A42" s="631" t="s">
        <v>166</v>
      </c>
      <c r="B42" s="655">
        <v>-4600</v>
      </c>
      <c r="C42" s="655">
        <v>0</v>
      </c>
      <c r="D42" s="655">
        <f t="shared" si="2"/>
        <v>-4600</v>
      </c>
      <c r="E42" s="667"/>
      <c r="K42" s="619">
        <f>K41+K40</f>
        <v>153500</v>
      </c>
    </row>
    <row r="43" spans="1:11">
      <c r="A43" s="631" t="s">
        <v>196</v>
      </c>
      <c r="B43" s="655">
        <v>-9360</v>
      </c>
      <c r="C43" s="655">
        <v>0</v>
      </c>
      <c r="D43" s="655">
        <f t="shared" si="2"/>
        <v>-9360</v>
      </c>
      <c r="E43" s="667"/>
      <c r="K43" s="680">
        <v>-30000</v>
      </c>
    </row>
    <row r="44" spans="1:11">
      <c r="A44" s="631" t="s">
        <v>719</v>
      </c>
      <c r="B44" s="655">
        <v>-16050</v>
      </c>
      <c r="C44" s="655">
        <v>0</v>
      </c>
      <c r="D44" s="655">
        <f t="shared" si="2"/>
        <v>-16050</v>
      </c>
      <c r="E44" s="667"/>
      <c r="K44" s="620">
        <f>K42+K43</f>
        <v>123500</v>
      </c>
    </row>
    <row r="45" spans="1:11">
      <c r="A45" s="631" t="s">
        <v>659</v>
      </c>
      <c r="B45" s="655">
        <v>-20000</v>
      </c>
      <c r="C45" s="655">
        <v>0</v>
      </c>
      <c r="D45" s="655">
        <f t="shared" si="2"/>
        <v>-20000</v>
      </c>
      <c r="E45" s="667"/>
    </row>
    <row r="46" spans="1:11">
      <c r="A46" s="638" t="s">
        <v>660</v>
      </c>
      <c r="B46" s="655">
        <v>-25526</v>
      </c>
      <c r="C46" s="655">
        <v>0</v>
      </c>
      <c r="D46" s="655">
        <f t="shared" si="2"/>
        <v>-25526</v>
      </c>
      <c r="E46" s="667"/>
    </row>
    <row r="47" spans="1:11">
      <c r="A47" s="638" t="s">
        <v>662</v>
      </c>
      <c r="B47" s="655">
        <f>-3905-8000</f>
        <v>-11905</v>
      </c>
      <c r="C47" s="655">
        <v>8000</v>
      </c>
      <c r="D47" s="655">
        <f t="shared" si="2"/>
        <v>-3905</v>
      </c>
      <c r="E47" s="667" t="s">
        <v>740</v>
      </c>
    </row>
    <row r="48" spans="1:11">
      <c r="A48" s="631" t="s">
        <v>167</v>
      </c>
      <c r="B48" s="655">
        <v>-2700</v>
      </c>
      <c r="C48" s="655">
        <v>0</v>
      </c>
      <c r="D48" s="655">
        <f t="shared" si="2"/>
        <v>-2700</v>
      </c>
      <c r="E48" s="667" t="s">
        <v>684</v>
      </c>
    </row>
    <row r="49" spans="1:5">
      <c r="A49" s="631" t="s">
        <v>625</v>
      </c>
      <c r="B49" s="655">
        <v>-1800</v>
      </c>
      <c r="C49" s="655">
        <v>0</v>
      </c>
      <c r="D49" s="655">
        <f t="shared" si="2"/>
        <v>-1800</v>
      </c>
      <c r="E49" s="667"/>
    </row>
    <row r="50" spans="1:5">
      <c r="A50" s="639" t="s">
        <v>642</v>
      </c>
      <c r="B50" s="655">
        <v>-3000</v>
      </c>
      <c r="C50" s="655">
        <v>0</v>
      </c>
      <c r="D50" s="655">
        <f t="shared" si="2"/>
        <v>-3000</v>
      </c>
      <c r="E50" s="667"/>
    </row>
    <row r="51" spans="1:5">
      <c r="A51" s="631" t="s">
        <v>10</v>
      </c>
      <c r="B51" s="655">
        <v>-2750</v>
      </c>
      <c r="C51" s="655">
        <v>0</v>
      </c>
      <c r="D51" s="655">
        <f t="shared" si="2"/>
        <v>-2750</v>
      </c>
      <c r="E51" s="667"/>
    </row>
    <row r="52" spans="1:5">
      <c r="A52" s="631" t="s">
        <v>667</v>
      </c>
      <c r="B52" s="655">
        <v>-5000</v>
      </c>
      <c r="C52" s="655">
        <v>0</v>
      </c>
      <c r="D52" s="655">
        <f t="shared" si="2"/>
        <v>-5000</v>
      </c>
      <c r="E52" s="667" t="s">
        <v>680</v>
      </c>
    </row>
    <row r="53" spans="1:5">
      <c r="A53" s="631" t="s">
        <v>668</v>
      </c>
      <c r="B53" s="655">
        <v>-5000</v>
      </c>
      <c r="C53" s="655">
        <v>0</v>
      </c>
      <c r="D53" s="655">
        <f t="shared" si="2"/>
        <v>-5000</v>
      </c>
      <c r="E53" s="640" t="s">
        <v>669</v>
      </c>
    </row>
    <row r="54" spans="1:5">
      <c r="A54" s="631" t="s">
        <v>169</v>
      </c>
      <c r="B54" s="655">
        <v>-5000</v>
      </c>
      <c r="C54" s="655">
        <v>0</v>
      </c>
      <c r="D54" s="655">
        <f t="shared" si="2"/>
        <v>-5000</v>
      </c>
      <c r="E54" s="640" t="s">
        <v>669</v>
      </c>
    </row>
    <row r="55" spans="1:5">
      <c r="A55" s="631" t="s">
        <v>170</v>
      </c>
      <c r="B55" s="655">
        <v>-5000</v>
      </c>
      <c r="C55" s="655">
        <v>0</v>
      </c>
      <c r="D55" s="655">
        <f t="shared" si="2"/>
        <v>-5000</v>
      </c>
      <c r="E55" s="640" t="s">
        <v>669</v>
      </c>
    </row>
    <row r="56" spans="1:5">
      <c r="A56" s="631" t="s">
        <v>171</v>
      </c>
      <c r="B56" s="655">
        <v>-5000</v>
      </c>
      <c r="C56" s="655">
        <v>0</v>
      </c>
      <c r="D56" s="655">
        <f t="shared" si="2"/>
        <v>-5000</v>
      </c>
      <c r="E56" s="640" t="s">
        <v>669</v>
      </c>
    </row>
    <row r="57" spans="1:5">
      <c r="A57" s="641" t="s">
        <v>700</v>
      </c>
      <c r="B57" s="660">
        <v>-30000</v>
      </c>
      <c r="C57" s="660">
        <v>-141500</v>
      </c>
      <c r="D57" s="660">
        <f t="shared" si="2"/>
        <v>-171500</v>
      </c>
      <c r="E57" s="667" t="s">
        <v>741</v>
      </c>
    </row>
    <row r="58" spans="1:5" s="620" customFormat="1">
      <c r="A58" s="630" t="s">
        <v>713</v>
      </c>
      <c r="B58" s="652">
        <f>SUM(B36:B57)</f>
        <v>-369241</v>
      </c>
      <c r="C58" s="652">
        <f>SUM(C36:C57)</f>
        <v>-115500</v>
      </c>
      <c r="D58" s="652">
        <f>SUM(D36:D57)</f>
        <v>-484741</v>
      </c>
      <c r="E58" s="670"/>
    </row>
    <row r="59" spans="1:5" s="620" customFormat="1">
      <c r="A59" s="630"/>
      <c r="B59" s="652"/>
      <c r="C59" s="652"/>
      <c r="D59" s="652"/>
      <c r="E59" s="670"/>
    </row>
    <row r="60" spans="1:5">
      <c r="A60" s="630" t="s">
        <v>185</v>
      </c>
      <c r="B60" s="655" t="s">
        <v>178</v>
      </c>
      <c r="C60" s="655" t="s">
        <v>178</v>
      </c>
      <c r="D60" s="655" t="s">
        <v>178</v>
      </c>
      <c r="E60" s="667"/>
    </row>
    <row r="61" spans="1:5">
      <c r="A61" s="631" t="s">
        <v>186</v>
      </c>
      <c r="B61" s="655">
        <v>-15000</v>
      </c>
      <c r="C61" s="655">
        <v>0</v>
      </c>
      <c r="D61" s="655">
        <f t="shared" ref="D61:D65" si="3">C61+B61</f>
        <v>-15000</v>
      </c>
      <c r="E61" s="667" t="s">
        <v>688</v>
      </c>
    </row>
    <row r="62" spans="1:5">
      <c r="A62" s="631" t="s">
        <v>686</v>
      </c>
      <c r="B62" s="655">
        <v>-19600</v>
      </c>
      <c r="C62" s="655">
        <v>0</v>
      </c>
      <c r="D62" s="655">
        <f t="shared" si="3"/>
        <v>-19600</v>
      </c>
      <c r="E62" s="667" t="s">
        <v>687</v>
      </c>
    </row>
    <row r="63" spans="1:5">
      <c r="A63" s="631" t="s">
        <v>576</v>
      </c>
      <c r="B63" s="655">
        <v>-240000</v>
      </c>
      <c r="C63" s="655">
        <v>0</v>
      </c>
      <c r="D63" s="655">
        <f t="shared" si="3"/>
        <v>-240000</v>
      </c>
      <c r="E63" s="667" t="s">
        <v>689</v>
      </c>
    </row>
    <row r="64" spans="1:5">
      <c r="A64" s="631" t="s">
        <v>624</v>
      </c>
      <c r="B64" s="655">
        <v>-9400</v>
      </c>
      <c r="C64" s="655">
        <v>0</v>
      </c>
      <c r="D64" s="655">
        <f t="shared" si="3"/>
        <v>-9400</v>
      </c>
      <c r="E64" s="667"/>
    </row>
    <row r="65" spans="1:5">
      <c r="A65" s="641" t="s">
        <v>187</v>
      </c>
      <c r="B65" s="660">
        <v>-1000</v>
      </c>
      <c r="C65" s="660">
        <v>0</v>
      </c>
      <c r="D65" s="660">
        <f t="shared" si="3"/>
        <v>-1000</v>
      </c>
      <c r="E65" s="667" t="s">
        <v>670</v>
      </c>
    </row>
    <row r="66" spans="1:5" s="620" customFormat="1">
      <c r="A66" s="630" t="s">
        <v>721</v>
      </c>
      <c r="B66" s="652">
        <f>SUM(B61:B65)</f>
        <v>-285000</v>
      </c>
      <c r="C66" s="652">
        <f>SUM(C61:C65)</f>
        <v>0</v>
      </c>
      <c r="D66" s="652">
        <f>SUM(D61:D65)</f>
        <v>-285000</v>
      </c>
      <c r="E66" s="670"/>
    </row>
    <row r="67" spans="1:5" s="620" customFormat="1">
      <c r="A67" s="630"/>
      <c r="B67" s="652"/>
      <c r="C67" s="652"/>
      <c r="D67" s="652"/>
      <c r="E67" s="670"/>
    </row>
    <row r="68" spans="1:5">
      <c r="A68" s="630" t="s">
        <v>188</v>
      </c>
      <c r="B68" s="655"/>
      <c r="C68" s="655"/>
      <c r="D68" s="655"/>
      <c r="E68" s="667"/>
    </row>
    <row r="69" spans="1:5">
      <c r="A69" s="631" t="s">
        <v>189</v>
      </c>
      <c r="B69" s="655">
        <v>-1000</v>
      </c>
      <c r="C69" s="655">
        <v>0</v>
      </c>
      <c r="D69" s="655">
        <f t="shared" ref="D69:D72" si="4">C69+B69</f>
        <v>-1000</v>
      </c>
      <c r="E69" s="667" t="s">
        <v>671</v>
      </c>
    </row>
    <row r="70" spans="1:5">
      <c r="A70" s="631" t="s">
        <v>190</v>
      </c>
      <c r="B70" s="655">
        <v>-2000</v>
      </c>
      <c r="C70" s="655">
        <v>0</v>
      </c>
      <c r="D70" s="655">
        <f t="shared" si="4"/>
        <v>-2000</v>
      </c>
      <c r="E70" s="667" t="s">
        <v>697</v>
      </c>
    </row>
    <row r="71" spans="1:5">
      <c r="A71" s="631" t="s">
        <v>81</v>
      </c>
      <c r="B71" s="655">
        <v>-4000</v>
      </c>
      <c r="C71" s="655">
        <v>0</v>
      </c>
      <c r="D71" s="655">
        <f t="shared" si="4"/>
        <v>-4000</v>
      </c>
      <c r="E71" s="667" t="s">
        <v>683</v>
      </c>
    </row>
    <row r="72" spans="1:5">
      <c r="A72" s="641" t="s">
        <v>681</v>
      </c>
      <c r="B72" s="660">
        <v>-4000</v>
      </c>
      <c r="C72" s="660">
        <v>0</v>
      </c>
      <c r="D72" s="660">
        <f t="shared" si="4"/>
        <v>-4000</v>
      </c>
      <c r="E72" s="667"/>
    </row>
    <row r="73" spans="1:5" s="620" customFormat="1">
      <c r="A73" s="630" t="s">
        <v>722</v>
      </c>
      <c r="B73" s="652">
        <f>SUM(B69:B72)</f>
        <v>-11000</v>
      </c>
      <c r="C73" s="652">
        <f>SUM(C69:C72)</f>
        <v>0</v>
      </c>
      <c r="D73" s="652">
        <f>SUM(D69:D72)</f>
        <v>-11000</v>
      </c>
      <c r="E73" s="670"/>
    </row>
    <row r="74" spans="1:5" s="620" customFormat="1">
      <c r="A74" s="630"/>
      <c r="B74" s="655"/>
      <c r="C74" s="655"/>
      <c r="D74" s="655"/>
      <c r="E74" s="670"/>
    </row>
    <row r="75" spans="1:5">
      <c r="A75" s="630" t="s">
        <v>191</v>
      </c>
      <c r="B75" s="655"/>
      <c r="C75" s="655"/>
      <c r="D75" s="655"/>
      <c r="E75" s="667"/>
    </row>
    <row r="76" spans="1:5">
      <c r="A76" s="631" t="s">
        <v>192</v>
      </c>
      <c r="B76" s="655">
        <v>-16000</v>
      </c>
      <c r="C76" s="655">
        <v>0</v>
      </c>
      <c r="D76" s="655">
        <f t="shared" ref="D76:D78" si="5">C76+B76</f>
        <v>-16000</v>
      </c>
      <c r="E76" s="667" t="s">
        <v>690</v>
      </c>
    </row>
    <row r="77" spans="1:5">
      <c r="A77" s="631" t="s">
        <v>193</v>
      </c>
      <c r="B77" s="655">
        <v>-18300</v>
      </c>
      <c r="C77" s="655">
        <v>0</v>
      </c>
      <c r="D77" s="655">
        <f t="shared" si="5"/>
        <v>-18300</v>
      </c>
      <c r="E77" s="667"/>
    </row>
    <row r="78" spans="1:5">
      <c r="A78" s="641" t="s">
        <v>672</v>
      </c>
      <c r="B78" s="660">
        <v>-1500</v>
      </c>
      <c r="C78" s="660">
        <v>0</v>
      </c>
      <c r="D78" s="660">
        <f t="shared" si="5"/>
        <v>-1500</v>
      </c>
      <c r="E78" s="667"/>
    </row>
    <row r="79" spans="1:5" s="620" customFormat="1">
      <c r="A79" s="630" t="s">
        <v>723</v>
      </c>
      <c r="B79" s="652">
        <f>SUM(B76:B78)</f>
        <v>-35800</v>
      </c>
      <c r="C79" s="652">
        <f>SUM(C76:C78)</f>
        <v>0</v>
      </c>
      <c r="D79" s="652">
        <f>SUM(D76:D78)</f>
        <v>-35800</v>
      </c>
      <c r="E79" s="670"/>
    </row>
    <row r="80" spans="1:5" s="620" customFormat="1">
      <c r="A80" s="630"/>
      <c r="B80" s="652"/>
      <c r="C80" s="652"/>
      <c r="D80" s="652"/>
      <c r="E80" s="670"/>
    </row>
    <row r="81" spans="1:5">
      <c r="A81" s="630" t="s">
        <v>194</v>
      </c>
      <c r="B81" s="655"/>
      <c r="C81" s="655"/>
      <c r="D81" s="655"/>
      <c r="E81" s="667"/>
    </row>
    <row r="82" spans="1:5">
      <c r="A82" s="631" t="s">
        <v>663</v>
      </c>
      <c r="B82" s="655">
        <v>-2600</v>
      </c>
      <c r="C82" s="655">
        <v>0</v>
      </c>
      <c r="D82" s="655">
        <f t="shared" ref="D82:D96" si="6">C82+B82</f>
        <v>-2600</v>
      </c>
      <c r="E82" s="667"/>
    </row>
    <row r="83" spans="1:5">
      <c r="A83" s="631" t="s">
        <v>579</v>
      </c>
      <c r="B83" s="655">
        <v>-1200</v>
      </c>
      <c r="C83" s="655">
        <v>0</v>
      </c>
      <c r="D83" s="655">
        <f t="shared" si="6"/>
        <v>-1200</v>
      </c>
      <c r="E83" s="667"/>
    </row>
    <row r="84" spans="1:5">
      <c r="A84" s="631" t="s">
        <v>673</v>
      </c>
      <c r="B84" s="655">
        <v>-800</v>
      </c>
      <c r="C84" s="655">
        <v>0</v>
      </c>
      <c r="D84" s="655">
        <f t="shared" si="6"/>
        <v>-800</v>
      </c>
      <c r="E84" s="667" t="s">
        <v>674</v>
      </c>
    </row>
    <row r="85" spans="1:5">
      <c r="A85" s="631" t="s">
        <v>116</v>
      </c>
      <c r="B85" s="655">
        <v>-500</v>
      </c>
      <c r="C85" s="655">
        <v>0</v>
      </c>
      <c r="D85" s="655">
        <f t="shared" si="6"/>
        <v>-500</v>
      </c>
      <c r="E85" s="667"/>
    </row>
    <row r="86" spans="1:5">
      <c r="A86" s="631" t="s">
        <v>725</v>
      </c>
      <c r="B86" s="655">
        <v>-500</v>
      </c>
      <c r="C86" s="655">
        <v>0</v>
      </c>
      <c r="D86" s="655">
        <f t="shared" si="6"/>
        <v>-500</v>
      </c>
      <c r="E86" s="667"/>
    </row>
    <row r="87" spans="1:5">
      <c r="A87" s="631" t="s">
        <v>120</v>
      </c>
      <c r="B87" s="655">
        <v>-100</v>
      </c>
      <c r="C87" s="655">
        <v>0</v>
      </c>
      <c r="D87" s="655">
        <f t="shared" si="6"/>
        <v>-100</v>
      </c>
      <c r="E87" s="667"/>
    </row>
    <row r="88" spans="1:5">
      <c r="A88" s="631" t="s">
        <v>724</v>
      </c>
      <c r="B88" s="655">
        <v>-500</v>
      </c>
      <c r="C88" s="655">
        <v>0</v>
      </c>
      <c r="D88" s="655">
        <f t="shared" si="6"/>
        <v>-500</v>
      </c>
      <c r="E88" s="667"/>
    </row>
    <row r="89" spans="1:5">
      <c r="A89" s="631" t="s">
        <v>274</v>
      </c>
      <c r="B89" s="655">
        <v>-1000</v>
      </c>
      <c r="C89" s="655">
        <v>0</v>
      </c>
      <c r="D89" s="655">
        <f t="shared" si="6"/>
        <v>-1000</v>
      </c>
      <c r="E89" s="667"/>
    </row>
    <row r="90" spans="1:5">
      <c r="A90" s="631" t="s">
        <v>275</v>
      </c>
      <c r="B90" s="655">
        <v>-1000</v>
      </c>
      <c r="C90" s="655">
        <v>0</v>
      </c>
      <c r="D90" s="655">
        <f t="shared" si="6"/>
        <v>-1000</v>
      </c>
      <c r="E90" s="667"/>
    </row>
    <row r="91" spans="1:5">
      <c r="A91" s="631" t="s">
        <v>63</v>
      </c>
      <c r="B91" s="655">
        <v>-1800</v>
      </c>
      <c r="C91" s="655">
        <v>0</v>
      </c>
      <c r="D91" s="655">
        <f t="shared" si="6"/>
        <v>-1800</v>
      </c>
      <c r="E91" s="667" t="s">
        <v>692</v>
      </c>
    </row>
    <row r="92" spans="1:5">
      <c r="A92" s="631" t="s">
        <v>666</v>
      </c>
      <c r="B92" s="655">
        <v>-4320</v>
      </c>
      <c r="C92" s="655">
        <v>0</v>
      </c>
      <c r="D92" s="655">
        <f t="shared" si="6"/>
        <v>-4320</v>
      </c>
      <c r="E92" s="667" t="s">
        <v>710</v>
      </c>
    </row>
    <row r="93" spans="1:5">
      <c r="A93" s="631" t="s">
        <v>85</v>
      </c>
      <c r="B93" s="655">
        <v>-3010.08</v>
      </c>
      <c r="C93" s="655">
        <v>0</v>
      </c>
      <c r="D93" s="655">
        <f t="shared" si="6"/>
        <v>-3010.08</v>
      </c>
      <c r="E93" s="667" t="s">
        <v>698</v>
      </c>
    </row>
    <row r="94" spans="1:5" s="620" customFormat="1">
      <c r="A94" s="631" t="s">
        <v>567</v>
      </c>
      <c r="B94" s="655">
        <v>-12500</v>
      </c>
      <c r="C94" s="655">
        <v>0</v>
      </c>
      <c r="D94" s="655">
        <f t="shared" si="6"/>
        <v>-12500</v>
      </c>
      <c r="E94" s="667" t="s">
        <v>691</v>
      </c>
    </row>
    <row r="95" spans="1:5" s="620" customFormat="1">
      <c r="A95" s="631" t="s">
        <v>569</v>
      </c>
      <c r="B95" s="655">
        <v>-100</v>
      </c>
      <c r="C95" s="655">
        <v>0</v>
      </c>
      <c r="D95" s="655">
        <f t="shared" si="6"/>
        <v>-100</v>
      </c>
      <c r="E95" s="667" t="s">
        <v>699</v>
      </c>
    </row>
    <row r="96" spans="1:5">
      <c r="A96" s="641" t="s">
        <v>623</v>
      </c>
      <c r="B96" s="660">
        <v>-750</v>
      </c>
      <c r="C96" s="660">
        <v>0</v>
      </c>
      <c r="D96" s="660">
        <f t="shared" si="6"/>
        <v>-750</v>
      </c>
      <c r="E96" s="667"/>
    </row>
    <row r="97" spans="1:5">
      <c r="A97" s="630" t="s">
        <v>726</v>
      </c>
      <c r="B97" s="652">
        <f>SUM(B82:B96)</f>
        <v>-30680.080000000002</v>
      </c>
      <c r="C97" s="652">
        <f>SUM(C82:C96)</f>
        <v>0</v>
      </c>
      <c r="D97" s="652">
        <f>SUM(D82:D96)</f>
        <v>-30680.080000000002</v>
      </c>
      <c r="E97" s="667"/>
    </row>
    <row r="98" spans="1:5">
      <c r="A98" s="630"/>
      <c r="B98" s="655"/>
      <c r="C98" s="655"/>
      <c r="D98" s="655"/>
      <c r="E98" s="667"/>
    </row>
    <row r="99" spans="1:5">
      <c r="A99" s="630" t="s">
        <v>121</v>
      </c>
      <c r="B99" s="655"/>
      <c r="C99" s="655"/>
      <c r="D99" s="655"/>
      <c r="E99" s="667"/>
    </row>
    <row r="100" spans="1:5">
      <c r="A100" s="631" t="s">
        <v>82</v>
      </c>
      <c r="B100" s="655">
        <v>-10000</v>
      </c>
      <c r="C100" s="655">
        <v>0</v>
      </c>
      <c r="D100" s="655">
        <f t="shared" ref="D100:D105" si="7">C100+B100</f>
        <v>-10000</v>
      </c>
      <c r="E100" s="667"/>
    </row>
    <row r="101" spans="1:5">
      <c r="A101" s="631" t="s">
        <v>126</v>
      </c>
      <c r="B101" s="655">
        <v>-800</v>
      </c>
      <c r="C101" s="655">
        <v>0</v>
      </c>
      <c r="D101" s="655">
        <f t="shared" si="7"/>
        <v>-800</v>
      </c>
      <c r="E101" s="667"/>
    </row>
    <row r="102" spans="1:5">
      <c r="A102" s="631" t="s">
        <v>125</v>
      </c>
      <c r="B102" s="655">
        <v>-2700</v>
      </c>
      <c r="C102" s="655">
        <v>0</v>
      </c>
      <c r="D102" s="655">
        <f t="shared" si="7"/>
        <v>-2700</v>
      </c>
      <c r="E102" s="667"/>
    </row>
    <row r="103" spans="1:5">
      <c r="A103" s="631" t="s">
        <v>64</v>
      </c>
      <c r="B103" s="655">
        <v>-1200</v>
      </c>
      <c r="C103" s="655">
        <v>0</v>
      </c>
      <c r="D103" s="655">
        <f t="shared" si="7"/>
        <v>-1200</v>
      </c>
      <c r="E103" s="667"/>
    </row>
    <row r="104" spans="1:5">
      <c r="A104" s="631" t="s">
        <v>124</v>
      </c>
      <c r="B104" s="655">
        <v>-500</v>
      </c>
      <c r="C104" s="655">
        <v>0</v>
      </c>
      <c r="D104" s="655">
        <f t="shared" si="7"/>
        <v>-500</v>
      </c>
      <c r="E104" s="667"/>
    </row>
    <row r="105" spans="1:5">
      <c r="A105" s="641" t="s">
        <v>664</v>
      </c>
      <c r="B105" s="660">
        <v>-1000</v>
      </c>
      <c r="C105" s="660">
        <v>0</v>
      </c>
      <c r="D105" s="660">
        <f t="shared" si="7"/>
        <v>-1000</v>
      </c>
      <c r="E105" s="671" t="s">
        <v>665</v>
      </c>
    </row>
    <row r="106" spans="1:5" s="620" customFormat="1">
      <c r="A106" s="630" t="s">
        <v>727</v>
      </c>
      <c r="B106" s="652">
        <f>SUM(B100:B105)</f>
        <v>-16200</v>
      </c>
      <c r="C106" s="652">
        <f>SUM(C100:C105)</f>
        <v>0</v>
      </c>
      <c r="D106" s="652">
        <f>SUM(D100:D105)</f>
        <v>-16200</v>
      </c>
      <c r="E106" s="670"/>
    </row>
    <row r="107" spans="1:5" s="620" customFormat="1">
      <c r="A107" s="630"/>
      <c r="B107" s="655"/>
      <c r="C107" s="655"/>
      <c r="D107" s="655"/>
      <c r="E107" s="670"/>
    </row>
    <row r="108" spans="1:5">
      <c r="A108" s="630" t="s">
        <v>122</v>
      </c>
      <c r="B108" s="655"/>
      <c r="C108" s="655"/>
      <c r="D108" s="655"/>
      <c r="E108" s="667"/>
    </row>
    <row r="109" spans="1:5">
      <c r="A109" s="631" t="s">
        <v>701</v>
      </c>
      <c r="B109" s="655">
        <v>-15000</v>
      </c>
      <c r="C109" s="655">
        <v>0</v>
      </c>
      <c r="D109" s="655">
        <f t="shared" ref="D109:D111" si="8">C109+B109</f>
        <v>-15000</v>
      </c>
      <c r="E109" s="667"/>
    </row>
    <row r="110" spans="1:5">
      <c r="A110" s="631" t="s">
        <v>129</v>
      </c>
      <c r="B110" s="655">
        <v>-4000</v>
      </c>
      <c r="C110" s="655">
        <v>0</v>
      </c>
      <c r="D110" s="655">
        <f t="shared" si="8"/>
        <v>-4000</v>
      </c>
      <c r="E110" s="667"/>
    </row>
    <row r="111" spans="1:5">
      <c r="A111" s="641" t="s">
        <v>123</v>
      </c>
      <c r="B111" s="660">
        <v>-500</v>
      </c>
      <c r="C111" s="660">
        <v>0</v>
      </c>
      <c r="D111" s="660">
        <f t="shared" si="8"/>
        <v>-500</v>
      </c>
      <c r="E111" s="667"/>
    </row>
    <row r="112" spans="1:5" s="620" customFormat="1">
      <c r="A112" s="630" t="s">
        <v>729</v>
      </c>
      <c r="B112" s="652">
        <f>SUM(B109:B111)</f>
        <v>-19500</v>
      </c>
      <c r="C112" s="652">
        <f>SUM(C109:C111)</f>
        <v>0</v>
      </c>
      <c r="D112" s="652">
        <f>SUM(D109:D111)</f>
        <v>-19500</v>
      </c>
      <c r="E112" s="670"/>
    </row>
    <row r="113" spans="1:5" s="620" customFormat="1">
      <c r="A113" s="630"/>
      <c r="B113" s="655"/>
      <c r="C113" s="655"/>
      <c r="D113" s="655"/>
      <c r="E113" s="670"/>
    </row>
    <row r="114" spans="1:5">
      <c r="A114" s="630" t="s">
        <v>278</v>
      </c>
      <c r="B114" s="652">
        <v>-5000</v>
      </c>
      <c r="C114" s="652">
        <v>0</v>
      </c>
      <c r="D114" s="652">
        <f>C114+B114</f>
        <v>-5000</v>
      </c>
      <c r="E114" s="667"/>
    </row>
    <row r="115" spans="1:5">
      <c r="A115" s="642"/>
      <c r="B115" s="660"/>
      <c r="C115" s="660"/>
      <c r="D115" s="660"/>
      <c r="E115" s="667"/>
    </row>
    <row r="116" spans="1:5">
      <c r="A116" s="643" t="s">
        <v>127</v>
      </c>
      <c r="B116" s="659">
        <f>B114+B112+B106+B97+B79+B73+B66+B58</f>
        <v>-772421.08000000007</v>
      </c>
      <c r="C116" s="659">
        <f>C114+C112+C106+C97+C79+C73+C66+C58</f>
        <v>-115500</v>
      </c>
      <c r="D116" s="659">
        <f>D114+D112+D106+D97+D79+D73+D66+D58</f>
        <v>-887921.08000000007</v>
      </c>
      <c r="E116" s="673"/>
    </row>
    <row r="117" spans="1:5" s="620" customFormat="1">
      <c r="A117" s="637"/>
      <c r="B117" s="655"/>
      <c r="C117" s="655"/>
      <c r="D117" s="655"/>
      <c r="E117" s="670"/>
    </row>
    <row r="118" spans="1:5" s="620" customFormat="1" ht="14.4" thickBot="1">
      <c r="A118" s="648" t="s">
        <v>730</v>
      </c>
      <c r="B118" s="661">
        <f>B31+B116</f>
        <v>55356.439999999944</v>
      </c>
      <c r="C118" s="661">
        <f>C31+C116</f>
        <v>-105274.62999999998</v>
      </c>
      <c r="D118" s="661">
        <f>D31+D116</f>
        <v>-49918.190000000061</v>
      </c>
      <c r="E118" s="674"/>
    </row>
    <row r="119" spans="1:5">
      <c r="A119" s="637"/>
      <c r="E119" s="667"/>
    </row>
    <row r="120" spans="1:5">
      <c r="A120" s="744"/>
      <c r="B120" s="745"/>
      <c r="C120" s="745"/>
      <c r="D120" s="745"/>
      <c r="E120" s="746"/>
    </row>
    <row r="121" spans="1:5">
      <c r="A121" s="744"/>
      <c r="B121" s="745"/>
      <c r="C121" s="745"/>
      <c r="D121" s="745"/>
      <c r="E121" s="746"/>
    </row>
    <row r="122" spans="1:5" ht="38.25" customHeight="1">
      <c r="A122" s="744" t="s">
        <v>4</v>
      </c>
      <c r="B122" s="745"/>
      <c r="C122" s="745"/>
      <c r="D122" s="745"/>
      <c r="E122" s="746"/>
    </row>
    <row r="123" spans="1:5" ht="63.75" customHeight="1">
      <c r="A123" s="744" t="s">
        <v>703</v>
      </c>
      <c r="B123" s="745"/>
      <c r="C123" s="745"/>
      <c r="D123" s="745"/>
      <c r="E123" s="746"/>
    </row>
    <row r="124" spans="1:5" ht="40.5" customHeight="1">
      <c r="A124" s="744" t="s">
        <v>5</v>
      </c>
      <c r="B124" s="745"/>
      <c r="C124" s="745"/>
      <c r="D124" s="745"/>
      <c r="E124" s="746"/>
    </row>
    <row r="125" spans="1:5" ht="71.25" customHeight="1" thickBot="1">
      <c r="A125" s="747" t="s">
        <v>704</v>
      </c>
      <c r="B125" s="748"/>
      <c r="C125" s="748"/>
      <c r="D125" s="748"/>
      <c r="E125" s="749"/>
    </row>
    <row r="126" spans="1:5">
      <c r="A126" s="619"/>
    </row>
    <row r="127" spans="1:5">
      <c r="A127" s="619"/>
    </row>
    <row r="132" spans="1:1">
      <c r="A132" s="624"/>
    </row>
  </sheetData>
  <sheetProtection selectLockedCells="1" selectUnlockedCells="1"/>
  <mergeCells count="11">
    <mergeCell ref="A120:E121"/>
    <mergeCell ref="A122:E122"/>
    <mergeCell ref="A123:E123"/>
    <mergeCell ref="A124:E124"/>
    <mergeCell ref="A125:E125"/>
    <mergeCell ref="E13:E14"/>
    <mergeCell ref="C4:C7"/>
    <mergeCell ref="E4:E7"/>
    <mergeCell ref="A1:E1"/>
    <mergeCell ref="A2:E2"/>
    <mergeCell ref="E11:E12"/>
  </mergeCells>
  <pageMargins left="0.25" right="0.25" top="0.25" bottom="0.5" header="0.25" footer="0.25"/>
  <pageSetup scale="79" fitToHeight="3" orientation="portrait" horizontalDpi="4294967293" verticalDpi="4294967293" r:id="rId1"/>
  <headerFooter>
    <oddFooter>&amp;RPage &amp;P of &amp;N</oddFooter>
  </headerFooter>
  <rowBreaks count="2" manualBreakCount="2">
    <brk id="59" max="4" man="1"/>
    <brk id="11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395"/>
  <sheetViews>
    <sheetView showGridLines="0" topLeftCell="E113" zoomScaleNormal="100" zoomScaleSheetLayoutView="100" workbookViewId="0">
      <selection activeCell="M26" sqref="M26"/>
    </sheetView>
    <sheetView topLeftCell="E1" workbookViewId="1"/>
  </sheetViews>
  <sheetFormatPr defaultColWidth="9.109375" defaultRowHeight="15.6"/>
  <cols>
    <col min="1" max="1" width="0.6640625" style="460" hidden="1" customWidth="1"/>
    <col min="2" max="2" width="0.109375" style="460" hidden="1" customWidth="1"/>
    <col min="3" max="3" width="0.33203125" style="460" hidden="1" customWidth="1"/>
    <col min="4" max="4" width="5.44140625" style="460" hidden="1" customWidth="1"/>
    <col min="5" max="5" width="43" style="477" customWidth="1"/>
    <col min="6" max="6" width="14.5546875" style="462" hidden="1" customWidth="1"/>
    <col min="7" max="7" width="16.109375" style="550" hidden="1" customWidth="1"/>
    <col min="8" max="8" width="21.33203125" style="433" hidden="1" customWidth="1"/>
    <col min="9" max="9" width="24.33203125" style="493" hidden="1" customWidth="1"/>
    <col min="10" max="12" width="18" style="500" hidden="1" customWidth="1"/>
    <col min="13" max="13" width="15.109375" style="536" customWidth="1"/>
    <col min="14" max="14" width="15.109375" style="536" hidden="1" customWidth="1"/>
    <col min="15" max="15" width="15.44140625" style="536" customWidth="1"/>
    <col min="16" max="16" width="0.5546875" style="536" customWidth="1"/>
    <col min="17" max="17" width="40.5546875" style="462" customWidth="1"/>
    <col min="18" max="18" width="19" style="462" customWidth="1"/>
    <col min="19" max="16384" width="9.109375" style="462"/>
  </cols>
  <sheetData>
    <row r="1" spans="1:21" ht="21.75" customHeight="1">
      <c r="B1" s="461"/>
      <c r="C1" s="461"/>
      <c r="D1" s="461"/>
      <c r="E1" s="768" t="s">
        <v>709</v>
      </c>
      <c r="F1" s="768"/>
      <c r="G1" s="768"/>
      <c r="H1" s="768"/>
      <c r="I1" s="768"/>
      <c r="J1" s="768"/>
      <c r="K1" s="768"/>
      <c r="L1" s="768"/>
      <c r="M1" s="768"/>
      <c r="N1" s="768"/>
      <c r="O1" s="768"/>
      <c r="P1" s="768"/>
      <c r="Q1" s="768"/>
    </row>
    <row r="2" spans="1:21" ht="57" customHeight="1">
      <c r="E2" s="463" t="s">
        <v>601</v>
      </c>
      <c r="F2" s="464" t="s">
        <v>177</v>
      </c>
      <c r="G2" s="465" t="s">
        <v>649</v>
      </c>
      <c r="H2" s="458"/>
      <c r="I2" s="466"/>
      <c r="J2" s="467" t="s">
        <v>656</v>
      </c>
      <c r="K2" s="467"/>
      <c r="L2" s="467"/>
      <c r="M2" s="468" t="s">
        <v>711</v>
      </c>
      <c r="N2" s="468"/>
      <c r="O2" s="468" t="s">
        <v>712</v>
      </c>
      <c r="P2" s="468"/>
      <c r="Q2" s="469" t="s">
        <v>176</v>
      </c>
    </row>
    <row r="3" spans="1:21" s="476" customFormat="1" ht="21" customHeight="1">
      <c r="A3" s="470"/>
      <c r="B3" s="769" t="s">
        <v>149</v>
      </c>
      <c r="C3" s="769"/>
      <c r="D3" s="769"/>
      <c r="E3" s="769"/>
      <c r="F3" s="471" t="e">
        <f>#REF!+#REF!</f>
        <v>#REF!</v>
      </c>
      <c r="G3" s="472"/>
      <c r="H3" s="445"/>
      <c r="I3" s="473"/>
      <c r="J3" s="474"/>
      <c r="K3" s="474"/>
      <c r="L3" s="474"/>
      <c r="M3" s="475"/>
      <c r="N3" s="475"/>
      <c r="O3" s="475"/>
      <c r="P3" s="475"/>
    </row>
    <row r="4" spans="1:21" s="476" customFormat="1" ht="21" customHeight="1">
      <c r="A4" s="470" t="s">
        <v>178</v>
      </c>
      <c r="B4" s="470"/>
      <c r="C4" s="470"/>
      <c r="D4" s="470"/>
      <c r="E4" s="477" t="s">
        <v>648</v>
      </c>
      <c r="F4" s="471"/>
      <c r="G4" s="472">
        <v>276730</v>
      </c>
      <c r="H4" s="445" t="s">
        <v>178</v>
      </c>
      <c r="I4" s="478"/>
      <c r="J4" s="479">
        <v>232289</v>
      </c>
      <c r="K4" s="479"/>
      <c r="L4" s="479"/>
      <c r="M4" s="480">
        <f>235000+60000</f>
        <v>295000</v>
      </c>
      <c r="N4" s="480"/>
      <c r="O4" s="480">
        <f>M4</f>
        <v>295000</v>
      </c>
      <c r="P4" s="480"/>
      <c r="Q4" s="764" t="s">
        <v>705</v>
      </c>
    </row>
    <row r="5" spans="1:21" s="476" customFormat="1" ht="44.25" customHeight="1">
      <c r="A5" s="470"/>
      <c r="B5" s="470"/>
      <c r="C5" s="470"/>
      <c r="D5" s="470"/>
      <c r="E5" s="481" t="s">
        <v>654</v>
      </c>
      <c r="F5" s="482"/>
      <c r="G5" s="483"/>
      <c r="H5" s="446"/>
      <c r="I5" s="484"/>
      <c r="J5" s="485">
        <v>40000</v>
      </c>
      <c r="K5" s="485"/>
      <c r="L5" s="485"/>
      <c r="M5" s="486" t="s">
        <v>178</v>
      </c>
      <c r="N5" s="486"/>
      <c r="O5" s="486">
        <v>30000</v>
      </c>
      <c r="P5" s="486"/>
      <c r="Q5" s="764"/>
    </row>
    <row r="6" spans="1:21" s="476" customFormat="1" ht="21.75" customHeight="1">
      <c r="A6" s="470" t="s">
        <v>178</v>
      </c>
      <c r="B6" s="470"/>
      <c r="C6" s="470"/>
      <c r="D6" s="470"/>
      <c r="E6" s="487" t="s">
        <v>653</v>
      </c>
      <c r="F6" s="471"/>
      <c r="G6" s="472">
        <f>365405</f>
        <v>365405</v>
      </c>
      <c r="H6" s="445" t="s">
        <v>178</v>
      </c>
      <c r="I6" s="473"/>
      <c r="J6" s="474">
        <v>365000</v>
      </c>
      <c r="K6" s="474"/>
      <c r="L6" s="474"/>
      <c r="M6" s="475">
        <v>382676.54</v>
      </c>
      <c r="N6" s="475"/>
      <c r="O6" s="475">
        <f>M6</f>
        <v>382676.54</v>
      </c>
      <c r="P6" s="475"/>
      <c r="Q6" s="764" t="s">
        <v>694</v>
      </c>
      <c r="R6" s="480"/>
    </row>
    <row r="7" spans="1:21" s="476" customFormat="1" ht="19.5" customHeight="1">
      <c r="A7" s="470"/>
      <c r="B7" s="470"/>
      <c r="C7" s="470"/>
      <c r="D7" s="470"/>
      <c r="E7" s="481" t="s">
        <v>654</v>
      </c>
      <c r="F7" s="471"/>
      <c r="G7" s="472" t="s">
        <v>178</v>
      </c>
      <c r="H7" s="445" t="s">
        <v>97</v>
      </c>
      <c r="I7" s="473"/>
      <c r="J7" s="479"/>
      <c r="K7" s="479"/>
      <c r="L7" s="479"/>
      <c r="M7" s="480"/>
      <c r="N7" s="480"/>
      <c r="O7" s="486">
        <v>5000</v>
      </c>
      <c r="P7" s="486"/>
      <c r="Q7" s="764"/>
    </row>
    <row r="8" spans="1:21" s="476" customFormat="1" ht="22.5" hidden="1" customHeight="1">
      <c r="A8" s="470" t="s">
        <v>178</v>
      </c>
      <c r="B8" s="470"/>
      <c r="C8" s="470"/>
      <c r="D8" s="470"/>
      <c r="E8" s="488" t="s">
        <v>61</v>
      </c>
      <c r="F8" s="471"/>
      <c r="G8" s="472">
        <v>40776</v>
      </c>
      <c r="H8" s="445" t="s">
        <v>178</v>
      </c>
      <c r="I8" s="473"/>
      <c r="J8" s="479"/>
      <c r="K8" s="479"/>
      <c r="L8" s="479"/>
      <c r="M8" s="480"/>
      <c r="N8" s="480"/>
      <c r="O8" s="480"/>
      <c r="P8" s="480"/>
    </row>
    <row r="9" spans="1:21" s="476" customFormat="1" ht="21" customHeight="1">
      <c r="A9" s="470" t="s">
        <v>178</v>
      </c>
      <c r="B9" s="470"/>
      <c r="C9" s="470"/>
      <c r="D9" s="470"/>
      <c r="E9" s="477" t="s">
        <v>155</v>
      </c>
      <c r="F9" s="471"/>
      <c r="G9" s="472">
        <v>91101.66</v>
      </c>
      <c r="H9" s="445"/>
      <c r="I9" s="473"/>
      <c r="J9" s="479">
        <f>41643+417+3509.87+6000</f>
        <v>51569.87</v>
      </c>
      <c r="K9" s="479"/>
      <c r="L9" s="479"/>
      <c r="M9" s="480">
        <f>41643+417+3509.87+6000</f>
        <v>51569.87</v>
      </c>
      <c r="N9" s="480"/>
      <c r="O9" s="480">
        <f>41643+417+3509.87+6000</f>
        <v>51569.87</v>
      </c>
      <c r="P9" s="480"/>
    </row>
    <row r="10" spans="1:21" s="476" customFormat="1" ht="21" customHeight="1">
      <c r="A10" s="470" t="s">
        <v>178</v>
      </c>
      <c r="B10" s="470"/>
      <c r="C10" s="470"/>
      <c r="D10" s="470"/>
      <c r="E10" s="477" t="s">
        <v>617</v>
      </c>
      <c r="F10" s="471"/>
      <c r="G10" s="472">
        <v>2190.9899999999998</v>
      </c>
      <c r="H10" s="445" t="s">
        <v>178</v>
      </c>
      <c r="I10" s="473"/>
      <c r="J10" s="479">
        <v>1422</v>
      </c>
      <c r="K10" s="479"/>
      <c r="L10" s="479"/>
      <c r="M10" s="480">
        <v>2115</v>
      </c>
      <c r="N10" s="480"/>
      <c r="O10" s="480">
        <v>1422</v>
      </c>
      <c r="P10" s="480"/>
    </row>
    <row r="11" spans="1:21" s="476" customFormat="1" ht="21" customHeight="1">
      <c r="A11" s="470" t="s">
        <v>178</v>
      </c>
      <c r="B11" s="470"/>
      <c r="C11" s="470"/>
      <c r="D11" s="470"/>
      <c r="E11" s="477" t="s">
        <v>706</v>
      </c>
      <c r="F11" s="471"/>
      <c r="G11" s="472">
        <v>159046</v>
      </c>
      <c r="H11" s="447"/>
      <c r="I11" s="473"/>
      <c r="J11" s="479">
        <v>78912</v>
      </c>
      <c r="K11" s="479"/>
      <c r="L11" s="479"/>
      <c r="M11" s="480">
        <v>102000</v>
      </c>
      <c r="N11" s="480"/>
      <c r="O11" s="480">
        <v>102000</v>
      </c>
      <c r="P11" s="480"/>
      <c r="Q11" s="462" t="s">
        <v>685</v>
      </c>
      <c r="U11" s="476" t="s">
        <v>178</v>
      </c>
    </row>
    <row r="12" spans="1:21" s="476" customFormat="1" ht="21" customHeight="1">
      <c r="A12" s="470"/>
      <c r="B12" s="470"/>
      <c r="C12" s="470"/>
      <c r="D12" s="470"/>
      <c r="E12" s="477" t="s">
        <v>707</v>
      </c>
      <c r="F12" s="471"/>
      <c r="G12" s="472"/>
      <c r="H12" s="447"/>
      <c r="I12" s="473"/>
      <c r="J12" s="479"/>
      <c r="K12" s="479"/>
      <c r="L12" s="479"/>
      <c r="M12" s="480">
        <v>3509.87</v>
      </c>
      <c r="N12" s="480"/>
      <c r="O12" s="480">
        <v>3509.87</v>
      </c>
      <c r="P12" s="480"/>
      <c r="Q12" s="462"/>
    </row>
    <row r="13" spans="1:21" s="476" customFormat="1" ht="21" customHeight="1">
      <c r="A13" s="470"/>
      <c r="B13" s="470"/>
      <c r="C13" s="470"/>
      <c r="D13" s="470"/>
      <c r="E13" s="477" t="s">
        <v>708</v>
      </c>
      <c r="F13" s="471"/>
      <c r="G13" s="472"/>
      <c r="H13" s="447"/>
      <c r="I13" s="473"/>
      <c r="J13" s="479"/>
      <c r="K13" s="479"/>
      <c r="L13" s="479"/>
      <c r="M13" s="480">
        <v>15564</v>
      </c>
      <c r="N13" s="480"/>
      <c r="O13" s="480">
        <v>15064</v>
      </c>
      <c r="P13" s="480"/>
      <c r="Q13" s="462"/>
    </row>
    <row r="14" spans="1:21" s="476" customFormat="1" ht="21" customHeight="1">
      <c r="A14" s="470"/>
      <c r="B14" s="470"/>
      <c r="C14" s="470"/>
      <c r="D14" s="470"/>
      <c r="E14" s="477" t="s">
        <v>618</v>
      </c>
      <c r="F14" s="471"/>
      <c r="G14" s="472">
        <f>2000+7025+394</f>
        <v>9419</v>
      </c>
      <c r="H14" s="447"/>
      <c r="I14" s="473"/>
      <c r="J14" s="474">
        <v>0</v>
      </c>
      <c r="K14" s="474"/>
      <c r="L14" s="474"/>
      <c r="M14" s="475">
        <f>1920+417</f>
        <v>2337</v>
      </c>
      <c r="N14" s="475"/>
      <c r="O14" s="475">
        <v>2569.2199999999998</v>
      </c>
      <c r="P14" s="475"/>
    </row>
    <row r="15" spans="1:21" s="476" customFormat="1" ht="21" customHeight="1">
      <c r="A15" s="470"/>
      <c r="B15" s="470"/>
      <c r="C15" s="470"/>
      <c r="D15" s="470"/>
      <c r="E15" s="481" t="s">
        <v>682</v>
      </c>
      <c r="F15" s="482"/>
      <c r="G15" s="483"/>
      <c r="H15" s="446"/>
      <c r="I15" s="484"/>
      <c r="J15" s="485">
        <v>20000</v>
      </c>
      <c r="K15" s="485"/>
      <c r="L15" s="485"/>
      <c r="M15" s="489" t="s">
        <v>178</v>
      </c>
      <c r="N15" s="489"/>
      <c r="O15" s="489">
        <v>20000</v>
      </c>
      <c r="P15" s="489"/>
      <c r="Q15" s="490" t="s">
        <v>695</v>
      </c>
    </row>
    <row r="16" spans="1:21" s="476" customFormat="1" ht="21" customHeight="1">
      <c r="A16" s="470" t="s">
        <v>178</v>
      </c>
      <c r="B16" s="470"/>
      <c r="C16" s="470"/>
      <c r="D16" s="470"/>
      <c r="E16" s="491" t="s">
        <v>151</v>
      </c>
      <c r="F16" s="471"/>
      <c r="G16" s="492">
        <f>SUM(G4:G14)</f>
        <v>944668.65</v>
      </c>
      <c r="H16" s="445" t="s">
        <v>178</v>
      </c>
      <c r="I16" s="493" t="s">
        <v>178</v>
      </c>
      <c r="J16" s="494">
        <f>SUM(J3:J14)</f>
        <v>769192.87</v>
      </c>
      <c r="K16" s="494"/>
      <c r="L16" s="494"/>
      <c r="M16" s="495">
        <f>M4+M6+M9+M10+M11+M12+M13+M14</f>
        <v>854772.28</v>
      </c>
      <c r="N16" s="495">
        <f>N4+N6+N9+N10+N11+N12+N13+N14</f>
        <v>0</v>
      </c>
      <c r="O16" s="495">
        <f>SUM(O4:O15)</f>
        <v>908811.5</v>
      </c>
      <c r="P16" s="495"/>
      <c r="Q16" s="490"/>
    </row>
    <row r="17" spans="1:18" ht="18" hidden="1" customHeight="1">
      <c r="A17" s="470"/>
      <c r="B17" s="470"/>
      <c r="C17" s="470"/>
      <c r="D17" s="470"/>
      <c r="E17" s="496" t="s">
        <v>622</v>
      </c>
      <c r="F17" s="497"/>
      <c r="G17" s="498" t="s">
        <v>178</v>
      </c>
      <c r="H17" s="448" t="s">
        <v>178</v>
      </c>
      <c r="J17" s="499" t="s">
        <v>178</v>
      </c>
      <c r="K17" s="499"/>
      <c r="L17" s="499"/>
      <c r="M17" s="500" t="s">
        <v>178</v>
      </c>
      <c r="N17" s="500"/>
      <c r="O17" s="500" t="s">
        <v>178</v>
      </c>
      <c r="P17" s="500"/>
    </row>
    <row r="18" spans="1:18" ht="33.75" hidden="1" customHeight="1">
      <c r="A18" s="470"/>
      <c r="B18" s="470"/>
      <c r="C18" s="470"/>
      <c r="D18" s="470"/>
      <c r="E18" s="501" t="s">
        <v>620</v>
      </c>
      <c r="F18" s="497"/>
      <c r="G18" s="502">
        <f>152522-40776</f>
        <v>111746</v>
      </c>
      <c r="H18" s="448"/>
      <c r="J18" s="499"/>
      <c r="K18" s="499"/>
      <c r="L18" s="499"/>
      <c r="M18" s="500"/>
      <c r="N18" s="500"/>
      <c r="O18" s="500"/>
      <c r="P18" s="500"/>
    </row>
    <row r="19" spans="1:18" ht="19.5" hidden="1" customHeight="1">
      <c r="A19" s="470"/>
      <c r="B19" s="470"/>
      <c r="C19" s="470"/>
      <c r="D19" s="470"/>
      <c r="E19" s="503" t="s">
        <v>621</v>
      </c>
      <c r="F19" s="497"/>
      <c r="G19" s="502">
        <v>27310</v>
      </c>
      <c r="H19" s="448" t="s">
        <v>178</v>
      </c>
      <c r="J19" s="499"/>
      <c r="K19" s="499"/>
      <c r="L19" s="499"/>
      <c r="M19" s="500"/>
      <c r="N19" s="500"/>
      <c r="O19" s="500"/>
      <c r="P19" s="500"/>
    </row>
    <row r="20" spans="1:18" ht="19.5" hidden="1" customHeight="1">
      <c r="A20" s="470"/>
      <c r="B20" s="470"/>
      <c r="C20" s="470"/>
      <c r="D20" s="470"/>
      <c r="E20" s="503" t="s">
        <v>178</v>
      </c>
      <c r="F20" s="497"/>
      <c r="G20" s="504">
        <f>SUM(G16:G19)</f>
        <v>1083724.6499999999</v>
      </c>
      <c r="H20" s="448" t="s">
        <v>178</v>
      </c>
      <c r="J20" s="499"/>
      <c r="K20" s="499"/>
      <c r="L20" s="499"/>
      <c r="M20" s="500"/>
      <c r="N20" s="500"/>
      <c r="O20" s="500"/>
      <c r="P20" s="500"/>
    </row>
    <row r="21" spans="1:18" ht="26.25" customHeight="1">
      <c r="A21" s="470"/>
      <c r="B21" s="470"/>
      <c r="C21" s="470"/>
      <c r="D21" s="470"/>
      <c r="E21" s="491" t="s">
        <v>174</v>
      </c>
      <c r="F21" s="505"/>
      <c r="G21" s="506"/>
      <c r="H21" s="449"/>
      <c r="J21" s="499"/>
      <c r="K21" s="499"/>
      <c r="L21" s="499"/>
      <c r="M21" s="500"/>
      <c r="N21" s="500"/>
      <c r="O21" s="500"/>
      <c r="P21" s="500"/>
    </row>
    <row r="22" spans="1:18" ht="22.5" customHeight="1">
      <c r="A22" s="470"/>
      <c r="B22" s="470"/>
      <c r="C22" s="470"/>
      <c r="D22" s="470"/>
      <c r="E22" s="477" t="s">
        <v>644</v>
      </c>
      <c r="F22" s="505"/>
      <c r="G22" s="506"/>
      <c r="H22" s="449"/>
      <c r="J22" s="474">
        <v>6595.84</v>
      </c>
      <c r="K22" s="474"/>
      <c r="L22" s="474"/>
      <c r="M22" s="507">
        <v>6926.91</v>
      </c>
      <c r="N22" s="507"/>
      <c r="O22" s="507">
        <v>7500</v>
      </c>
      <c r="P22" s="507"/>
      <c r="Q22" s="462" t="s">
        <v>178</v>
      </c>
    </row>
    <row r="23" spans="1:18" s="476" customFormat="1" ht="21.75" customHeight="1">
      <c r="A23" s="470" t="s">
        <v>178</v>
      </c>
      <c r="B23" s="470"/>
      <c r="C23" s="470"/>
      <c r="D23" s="470"/>
      <c r="E23" s="771" t="s">
        <v>148</v>
      </c>
      <c r="F23" s="471"/>
      <c r="G23" s="508">
        <f>57786.52+4893.62</f>
        <v>62680.14</v>
      </c>
      <c r="H23" s="445" t="s">
        <v>178</v>
      </c>
      <c r="I23" s="509"/>
      <c r="J23" s="474">
        <v>21438.34</v>
      </c>
      <c r="K23" s="474"/>
      <c r="L23" s="474"/>
      <c r="M23" s="507">
        <v>52127.71</v>
      </c>
      <c r="N23" s="507"/>
      <c r="O23" s="507">
        <f>M23</f>
        <v>52127.71</v>
      </c>
      <c r="P23" s="507"/>
    </row>
    <row r="24" spans="1:18" s="476" customFormat="1" ht="18" hidden="1" customHeight="1">
      <c r="A24" s="470"/>
      <c r="B24" s="470"/>
      <c r="C24" s="470"/>
      <c r="D24" s="470"/>
      <c r="E24" s="771"/>
      <c r="F24" s="471"/>
      <c r="G24" s="508" t="s">
        <v>178</v>
      </c>
      <c r="H24" s="445" t="s">
        <v>178</v>
      </c>
      <c r="I24" s="509"/>
      <c r="J24" s="474"/>
      <c r="K24" s="474"/>
      <c r="L24" s="474"/>
      <c r="M24" s="507"/>
      <c r="N24" s="507"/>
      <c r="O24" s="507"/>
      <c r="P24" s="507"/>
    </row>
    <row r="25" spans="1:18" s="517" customFormat="1" ht="18" customHeight="1">
      <c r="A25" s="510"/>
      <c r="B25" s="510"/>
      <c r="C25" s="510"/>
      <c r="D25" s="510"/>
      <c r="E25" s="511" t="s">
        <v>655</v>
      </c>
      <c r="F25" s="512"/>
      <c r="G25" s="513"/>
      <c r="H25" s="450"/>
      <c r="I25" s="514"/>
      <c r="J25" s="515">
        <v>30000</v>
      </c>
      <c r="K25" s="515"/>
      <c r="L25" s="515"/>
      <c r="M25" s="516"/>
      <c r="N25" s="516"/>
      <c r="O25" s="516">
        <v>1000</v>
      </c>
      <c r="P25" s="516"/>
    </row>
    <row r="26" spans="1:18" s="476" customFormat="1" ht="21" customHeight="1">
      <c r="A26" s="470" t="s">
        <v>178</v>
      </c>
      <c r="B26" s="470"/>
      <c r="C26" s="470"/>
      <c r="D26" s="470"/>
      <c r="E26" s="462" t="s">
        <v>652</v>
      </c>
      <c r="F26" s="471"/>
      <c r="G26" s="508">
        <v>48434.19</v>
      </c>
      <c r="H26" s="445" t="s">
        <v>178</v>
      </c>
      <c r="I26" s="518"/>
      <c r="J26" s="474">
        <v>16387.16</v>
      </c>
      <c r="K26" s="474"/>
      <c r="L26" s="474"/>
      <c r="M26" s="507">
        <v>20406.27</v>
      </c>
      <c r="N26" s="507"/>
      <c r="O26" s="507">
        <f>M26</f>
        <v>20406.27</v>
      </c>
      <c r="P26" s="507"/>
    </row>
    <row r="27" spans="1:18" ht="21" customHeight="1">
      <c r="A27" s="470" t="s">
        <v>178</v>
      </c>
      <c r="B27" s="470"/>
      <c r="C27" s="470"/>
      <c r="D27" s="470"/>
      <c r="E27" s="477" t="s">
        <v>637</v>
      </c>
      <c r="F27" s="519">
        <v>4000</v>
      </c>
      <c r="G27" s="520">
        <v>265.63</v>
      </c>
      <c r="H27" s="449" t="s">
        <v>178</v>
      </c>
      <c r="J27" s="499"/>
      <c r="K27" s="499"/>
      <c r="L27" s="499"/>
      <c r="M27" s="521"/>
      <c r="N27" s="521"/>
      <c r="O27" s="521"/>
      <c r="P27" s="521"/>
    </row>
    <row r="28" spans="1:18" ht="18.75" customHeight="1">
      <c r="A28" s="470"/>
      <c r="B28" s="775" t="s">
        <v>156</v>
      </c>
      <c r="C28" s="775"/>
      <c r="D28" s="775"/>
      <c r="E28" s="775"/>
      <c r="F28" s="519"/>
      <c r="G28" s="522">
        <f>SUM(G23:G27)</f>
        <v>111379.96</v>
      </c>
      <c r="H28" s="523"/>
      <c r="I28" s="522">
        <f>SUM(I23:I27)</f>
        <v>0</v>
      </c>
      <c r="J28" s="524">
        <f>SUM(J22:J27)</f>
        <v>74421.34</v>
      </c>
      <c r="K28" s="524"/>
      <c r="L28" s="524"/>
      <c r="M28" s="525">
        <f>SUM(M22:M27)</f>
        <v>79460.89</v>
      </c>
      <c r="N28" s="525"/>
      <c r="O28" s="525">
        <f>SUM(O22:O27)</f>
        <v>81033.98</v>
      </c>
      <c r="P28" s="525"/>
      <c r="R28" s="462" t="s">
        <v>178</v>
      </c>
    </row>
    <row r="29" spans="1:18" ht="19.5" hidden="1" customHeight="1">
      <c r="A29" s="470"/>
      <c r="B29" s="470"/>
      <c r="C29" s="470"/>
      <c r="D29" s="470"/>
      <c r="E29" s="477" t="s">
        <v>678</v>
      </c>
      <c r="F29" s="526"/>
      <c r="G29" s="527">
        <f>22044.48+9562.34+7650</f>
        <v>39256.82</v>
      </c>
      <c r="H29" s="448"/>
      <c r="J29" s="528"/>
      <c r="K29" s="528"/>
      <c r="L29" s="528"/>
      <c r="M29" s="529"/>
      <c r="N29" s="529"/>
      <c r="O29" s="529"/>
      <c r="P29" s="529"/>
    </row>
    <row r="30" spans="1:18" ht="22.5" customHeight="1">
      <c r="A30" s="470"/>
      <c r="B30" s="765" t="s">
        <v>645</v>
      </c>
      <c r="C30" s="765"/>
      <c r="D30" s="765"/>
      <c r="E30" s="765"/>
      <c r="F30" s="530"/>
      <c r="G30" s="531">
        <f>G16-G28-G29</f>
        <v>794031.87000000011</v>
      </c>
      <c r="H30" s="532"/>
      <c r="I30" s="531" t="e">
        <f>I16-I28-I29</f>
        <v>#VALUE!</v>
      </c>
      <c r="J30" s="533">
        <f>J16-J28-J29</f>
        <v>694771.53</v>
      </c>
      <c r="K30" s="533"/>
      <c r="L30" s="533"/>
      <c r="M30" s="534">
        <f>M16-M28-M29</f>
        <v>775311.39</v>
      </c>
      <c r="N30" s="534"/>
      <c r="O30" s="534">
        <f>O16-O28-O29</f>
        <v>827777.52</v>
      </c>
      <c r="P30" s="534"/>
    </row>
    <row r="31" spans="1:18" ht="0.75" customHeight="1">
      <c r="A31" s="470"/>
      <c r="B31" s="470"/>
      <c r="C31" s="470"/>
      <c r="D31" s="470"/>
      <c r="E31" s="491"/>
      <c r="F31" s="526"/>
      <c r="G31" s="535"/>
    </row>
    <row r="32" spans="1:18" ht="18" hidden="1">
      <c r="A32" s="470"/>
      <c r="B32" s="470"/>
      <c r="C32" s="470"/>
      <c r="D32" s="470"/>
      <c r="E32" s="537" t="s">
        <v>657</v>
      </c>
      <c r="F32" s="526"/>
      <c r="G32" s="535"/>
    </row>
    <row r="33" spans="1:18" hidden="1">
      <c r="A33" s="470"/>
      <c r="B33" s="470"/>
      <c r="C33" s="470"/>
      <c r="D33" s="470"/>
      <c r="E33" s="451" t="s">
        <v>639</v>
      </c>
      <c r="F33" s="538"/>
      <c r="G33" s="452">
        <v>1950</v>
      </c>
    </row>
    <row r="34" spans="1:18" hidden="1">
      <c r="A34" s="470"/>
      <c r="B34" s="470"/>
      <c r="C34" s="470"/>
      <c r="D34" s="470"/>
      <c r="E34" s="451" t="s">
        <v>640</v>
      </c>
      <c r="F34" s="538"/>
      <c r="G34" s="452">
        <v>2500</v>
      </c>
    </row>
    <row r="35" spans="1:18" hidden="1">
      <c r="A35" s="470"/>
      <c r="B35" s="470"/>
      <c r="C35" s="470"/>
      <c r="D35" s="470"/>
      <c r="E35" s="451" t="s">
        <v>641</v>
      </c>
      <c r="F35" s="538"/>
      <c r="G35" s="452">
        <v>3000</v>
      </c>
    </row>
    <row r="36" spans="1:18" ht="28.5" hidden="1" customHeight="1">
      <c r="A36" s="470"/>
      <c r="B36" s="470"/>
      <c r="C36" s="470"/>
      <c r="D36" s="470"/>
      <c r="E36" s="537" t="s">
        <v>636</v>
      </c>
      <c r="F36" s="526"/>
      <c r="G36" s="539">
        <f>G30+G33+G34+G35</f>
        <v>801481.87000000011</v>
      </c>
    </row>
    <row r="37" spans="1:18" ht="28.5" hidden="1" customHeight="1">
      <c r="A37" s="470"/>
      <c r="B37" s="470"/>
      <c r="C37" s="470"/>
      <c r="D37" s="470"/>
      <c r="E37" s="537"/>
      <c r="F37" s="526"/>
      <c r="G37" s="540"/>
    </row>
    <row r="38" spans="1:18" ht="28.5" customHeight="1">
      <c r="A38" s="767" t="s">
        <v>677</v>
      </c>
      <c r="B38" s="767"/>
      <c r="C38" s="767"/>
      <c r="D38" s="767"/>
      <c r="E38" s="767"/>
      <c r="F38" s="767"/>
      <c r="G38" s="767"/>
      <c r="H38" s="767"/>
      <c r="I38" s="767"/>
      <c r="J38" s="767"/>
      <c r="K38" s="767"/>
      <c r="L38" s="767"/>
      <c r="M38" s="767"/>
      <c r="N38" s="767"/>
      <c r="O38" s="767"/>
      <c r="P38" s="767"/>
      <c r="Q38" s="767"/>
    </row>
    <row r="39" spans="1:18" ht="54.75" customHeight="1">
      <c r="E39" s="773" t="s">
        <v>178</v>
      </c>
      <c r="F39" s="464" t="s">
        <v>177</v>
      </c>
      <c r="G39" s="541" t="s">
        <v>600</v>
      </c>
      <c r="H39" s="774" t="s">
        <v>638</v>
      </c>
      <c r="I39" s="493" t="s">
        <v>178</v>
      </c>
      <c r="M39" s="542" t="s">
        <v>676</v>
      </c>
      <c r="N39" s="777" t="s">
        <v>693</v>
      </c>
      <c r="O39" s="543" t="s">
        <v>675</v>
      </c>
      <c r="P39" s="543"/>
      <c r="Q39" s="462" t="s">
        <v>702</v>
      </c>
    </row>
    <row r="40" spans="1:18" ht="2.25" customHeight="1">
      <c r="E40" s="773"/>
      <c r="F40" s="464"/>
      <c r="G40" s="544" t="s">
        <v>199</v>
      </c>
      <c r="H40" s="774"/>
      <c r="J40" s="545" t="s">
        <v>650</v>
      </c>
      <c r="K40" s="545"/>
      <c r="L40" s="545"/>
      <c r="M40" s="772" t="s">
        <v>178</v>
      </c>
      <c r="N40" s="777"/>
      <c r="O40" s="766" t="s">
        <v>178</v>
      </c>
      <c r="P40" s="546"/>
    </row>
    <row r="41" spans="1:18" ht="21">
      <c r="E41" s="547" t="s">
        <v>598</v>
      </c>
      <c r="F41" s="464"/>
      <c r="G41" s="548" t="s">
        <v>153</v>
      </c>
      <c r="H41" s="774"/>
      <c r="M41" s="772"/>
      <c r="N41" s="777"/>
      <c r="O41" s="766"/>
      <c r="P41" s="546"/>
    </row>
    <row r="42" spans="1:18" ht="20.100000000000001" customHeight="1">
      <c r="A42" s="470"/>
      <c r="B42" s="470"/>
      <c r="C42" s="470"/>
      <c r="D42" s="470"/>
      <c r="E42" s="549" t="s">
        <v>180</v>
      </c>
      <c r="F42" s="505"/>
      <c r="M42" s="499"/>
      <c r="N42" s="521"/>
      <c r="O42" s="551"/>
      <c r="P42" s="551"/>
    </row>
    <row r="43" spans="1:18" ht="20.100000000000001" hidden="1" customHeight="1">
      <c r="A43" s="470"/>
      <c r="B43" s="470"/>
      <c r="C43" s="470"/>
      <c r="D43" s="470"/>
      <c r="E43" s="477" t="s">
        <v>164</v>
      </c>
      <c r="F43" s="505">
        <v>26000</v>
      </c>
      <c r="G43" s="552">
        <v>0</v>
      </c>
      <c r="H43" s="435" t="s">
        <v>178</v>
      </c>
      <c r="M43" s="499"/>
      <c r="N43" s="521"/>
      <c r="O43" s="551"/>
      <c r="P43" s="551"/>
    </row>
    <row r="44" spans="1:18" ht="20.100000000000001" hidden="1" customHeight="1">
      <c r="A44" s="470">
        <v>15</v>
      </c>
      <c r="B44" s="470"/>
      <c r="C44" s="470"/>
      <c r="D44" s="470"/>
      <c r="E44" s="477" t="s">
        <v>181</v>
      </c>
      <c r="F44" s="505"/>
      <c r="G44" s="552">
        <v>0</v>
      </c>
      <c r="H44" s="435"/>
      <c r="M44" s="499"/>
      <c r="N44" s="521"/>
      <c r="O44" s="551"/>
      <c r="P44" s="551"/>
    </row>
    <row r="45" spans="1:18" ht="17.399999999999999" customHeight="1">
      <c r="A45" s="470"/>
      <c r="B45" s="470"/>
      <c r="C45" s="470"/>
      <c r="D45" s="470"/>
      <c r="E45" s="477" t="s">
        <v>658</v>
      </c>
      <c r="F45" s="505"/>
      <c r="G45" s="552">
        <v>32000</v>
      </c>
      <c r="H45" s="436">
        <v>32000</v>
      </c>
      <c r="I45" s="553" t="s">
        <v>178</v>
      </c>
      <c r="M45" s="499">
        <v>64000</v>
      </c>
      <c r="N45" s="521">
        <f>O45-M45</f>
        <v>0</v>
      </c>
      <c r="O45" s="551">
        <v>64000</v>
      </c>
      <c r="P45" s="551"/>
      <c r="Q45" s="462" t="s">
        <v>696</v>
      </c>
    </row>
    <row r="46" spans="1:18" ht="17.399999999999999" customHeight="1">
      <c r="A46" s="470"/>
      <c r="B46" s="470"/>
      <c r="C46" s="470"/>
      <c r="D46" s="470"/>
      <c r="E46" s="554" t="s">
        <v>627</v>
      </c>
      <c r="F46" s="555"/>
      <c r="G46" s="556">
        <v>32000</v>
      </c>
      <c r="H46" s="436">
        <v>33920</v>
      </c>
      <c r="I46" s="557"/>
      <c r="M46" s="499">
        <v>30000</v>
      </c>
      <c r="N46" s="521">
        <f t="shared" ref="N46:N110" si="0">O46-M46</f>
        <v>0</v>
      </c>
      <c r="O46" s="551">
        <v>30000</v>
      </c>
      <c r="P46" s="551"/>
      <c r="Q46" s="462" t="s">
        <v>178</v>
      </c>
    </row>
    <row r="47" spans="1:18" ht="17.399999999999999" customHeight="1">
      <c r="A47" s="470"/>
      <c r="B47" s="470"/>
      <c r="C47" s="470"/>
      <c r="D47" s="470"/>
      <c r="E47" s="558" t="s">
        <v>626</v>
      </c>
      <c r="F47" s="505"/>
      <c r="G47" s="552">
        <v>5700</v>
      </c>
      <c r="H47" s="436">
        <v>4500</v>
      </c>
      <c r="I47" s="559" t="s">
        <v>633</v>
      </c>
      <c r="J47" s="500" t="s">
        <v>178</v>
      </c>
      <c r="M47" s="499">
        <f>(5700/2)*3</f>
        <v>8550</v>
      </c>
      <c r="N47" s="521">
        <f t="shared" si="0"/>
        <v>0</v>
      </c>
      <c r="O47" s="551">
        <f>(5700/2)*3</f>
        <v>8550</v>
      </c>
      <c r="P47" s="551"/>
      <c r="Q47" s="462" t="s">
        <v>178</v>
      </c>
      <c r="R47" s="462" t="s">
        <v>178</v>
      </c>
    </row>
    <row r="48" spans="1:18" ht="17.399999999999999" customHeight="1">
      <c r="A48" s="470" t="s">
        <v>178</v>
      </c>
      <c r="B48" s="470"/>
      <c r="C48" s="470"/>
      <c r="D48" s="470"/>
      <c r="E48" s="477" t="s">
        <v>661</v>
      </c>
      <c r="F48" s="505"/>
      <c r="G48" s="552">
        <v>64000</v>
      </c>
      <c r="H48" s="436">
        <v>64000</v>
      </c>
      <c r="M48" s="499">
        <v>64000</v>
      </c>
      <c r="N48" s="521">
        <f t="shared" si="0"/>
        <v>0</v>
      </c>
      <c r="O48" s="551">
        <v>64000</v>
      </c>
      <c r="P48" s="551"/>
      <c r="Q48" s="462" t="s">
        <v>178</v>
      </c>
    </row>
    <row r="49" spans="1:17" ht="17.399999999999999" customHeight="1">
      <c r="A49" s="470" t="s">
        <v>178</v>
      </c>
      <c r="B49" s="470"/>
      <c r="C49" s="470"/>
      <c r="D49" s="470"/>
      <c r="E49" s="477" t="s">
        <v>165</v>
      </c>
      <c r="F49" s="505">
        <v>46000</v>
      </c>
      <c r="G49" s="520">
        <v>46000</v>
      </c>
      <c r="H49" s="433">
        <v>46000</v>
      </c>
      <c r="M49" s="499">
        <v>46000</v>
      </c>
      <c r="N49" s="521">
        <f t="shared" si="0"/>
        <v>0</v>
      </c>
      <c r="O49" s="551">
        <v>46000</v>
      </c>
      <c r="P49" s="551"/>
    </row>
    <row r="50" spans="1:17" ht="17.399999999999999" customHeight="1">
      <c r="A50" s="470" t="s">
        <v>178</v>
      </c>
      <c r="B50" s="470"/>
      <c r="C50" s="470"/>
      <c r="D50" s="470"/>
      <c r="E50" s="477" t="s">
        <v>195</v>
      </c>
      <c r="F50" s="505">
        <v>4000</v>
      </c>
      <c r="G50" s="520">
        <v>4000</v>
      </c>
      <c r="H50" s="433">
        <v>4000</v>
      </c>
      <c r="M50" s="499">
        <v>4000</v>
      </c>
      <c r="N50" s="521">
        <f t="shared" si="0"/>
        <v>0</v>
      </c>
      <c r="O50" s="551">
        <v>4000</v>
      </c>
      <c r="P50" s="551"/>
      <c r="Q50" s="462" t="s">
        <v>178</v>
      </c>
    </row>
    <row r="51" spans="1:17" ht="17.399999999999999" customHeight="1">
      <c r="A51" s="470" t="s">
        <v>178</v>
      </c>
      <c r="B51" s="470"/>
      <c r="C51" s="470"/>
      <c r="D51" s="470"/>
      <c r="E51" s="477" t="s">
        <v>166</v>
      </c>
      <c r="F51" s="505"/>
      <c r="G51" s="520">
        <v>4600</v>
      </c>
      <c r="H51" s="442">
        <v>4600</v>
      </c>
      <c r="M51" s="499">
        <v>4600</v>
      </c>
      <c r="N51" s="521">
        <f t="shared" si="0"/>
        <v>0</v>
      </c>
      <c r="O51" s="551">
        <v>4600</v>
      </c>
      <c r="P51" s="551"/>
    </row>
    <row r="52" spans="1:17" ht="17.399999999999999" customHeight="1">
      <c r="A52" s="470" t="s">
        <v>178</v>
      </c>
      <c r="B52" s="470"/>
      <c r="C52" s="470"/>
      <c r="D52" s="470"/>
      <c r="E52" s="477" t="s">
        <v>196</v>
      </c>
      <c r="F52" s="505">
        <f>'[1]Enrich calc 2009-2010'!I29</f>
        <v>9360</v>
      </c>
      <c r="G52" s="520">
        <v>9360</v>
      </c>
      <c r="H52" s="433">
        <v>9360</v>
      </c>
      <c r="M52" s="499">
        <v>9360</v>
      </c>
      <c r="N52" s="521">
        <f t="shared" si="0"/>
        <v>0</v>
      </c>
      <c r="O52" s="551">
        <v>9360</v>
      </c>
      <c r="P52" s="551"/>
    </row>
    <row r="53" spans="1:17" ht="17.399999999999999" customHeight="1">
      <c r="A53" s="470"/>
      <c r="B53" s="470"/>
      <c r="C53" s="470"/>
      <c r="D53" s="470"/>
      <c r="E53" s="477" t="s">
        <v>632</v>
      </c>
      <c r="F53" s="505">
        <v>4000</v>
      </c>
      <c r="G53" s="520">
        <v>16050</v>
      </c>
      <c r="H53" s="433">
        <v>6050</v>
      </c>
      <c r="J53" s="500" t="s">
        <v>646</v>
      </c>
      <c r="M53" s="499">
        <v>16050</v>
      </c>
      <c r="N53" s="521">
        <f t="shared" si="0"/>
        <v>0</v>
      </c>
      <c r="O53" s="551">
        <v>16050</v>
      </c>
      <c r="P53" s="551"/>
    </row>
    <row r="54" spans="1:17" ht="17.399999999999999" customHeight="1">
      <c r="A54" s="470"/>
      <c r="B54" s="470"/>
      <c r="C54" s="470"/>
      <c r="D54" s="470"/>
      <c r="E54" s="477" t="s">
        <v>659</v>
      </c>
      <c r="F54" s="560"/>
      <c r="G54" s="552"/>
      <c r="H54" s="455"/>
      <c r="J54" s="561"/>
      <c r="K54" s="561"/>
      <c r="L54" s="561"/>
      <c r="M54" s="499">
        <v>0</v>
      </c>
      <c r="N54" s="521">
        <f t="shared" si="0"/>
        <v>20000</v>
      </c>
      <c r="O54" s="551">
        <v>20000</v>
      </c>
      <c r="P54" s="551"/>
    </row>
    <row r="55" spans="1:17" ht="17.399999999999999" hidden="1" customHeight="1">
      <c r="A55" s="470" t="s">
        <v>178</v>
      </c>
      <c r="B55" s="470"/>
      <c r="C55" s="470"/>
      <c r="D55" s="470"/>
      <c r="E55" s="562" t="s">
        <v>19</v>
      </c>
      <c r="F55" s="519"/>
      <c r="G55" s="563">
        <v>0</v>
      </c>
      <c r="H55" s="433" t="s">
        <v>178</v>
      </c>
      <c r="M55" s="499"/>
      <c r="N55" s="521">
        <f t="shared" si="0"/>
        <v>0</v>
      </c>
      <c r="O55" s="551"/>
      <c r="P55" s="551"/>
    </row>
    <row r="56" spans="1:17" ht="17.399999999999999" customHeight="1">
      <c r="A56" s="470" t="s">
        <v>178</v>
      </c>
      <c r="B56" s="470"/>
      <c r="C56" s="470"/>
      <c r="D56" s="470"/>
      <c r="E56" s="562" t="s">
        <v>660</v>
      </c>
      <c r="F56" s="519"/>
      <c r="G56" s="563">
        <v>25526</v>
      </c>
      <c r="H56" s="437">
        <v>25526</v>
      </c>
      <c r="M56" s="499">
        <v>25526</v>
      </c>
      <c r="N56" s="521">
        <f t="shared" si="0"/>
        <v>0</v>
      </c>
      <c r="O56" s="551">
        <v>25526</v>
      </c>
      <c r="P56" s="551"/>
    </row>
    <row r="57" spans="1:17" ht="17.399999999999999" hidden="1" customHeight="1">
      <c r="A57" s="470" t="s">
        <v>178</v>
      </c>
      <c r="B57" s="470"/>
      <c r="C57" s="470"/>
      <c r="D57" s="470"/>
      <c r="E57" s="562" t="s">
        <v>69</v>
      </c>
      <c r="F57" s="519"/>
      <c r="G57" s="563">
        <v>0</v>
      </c>
      <c r="M57" s="499"/>
      <c r="N57" s="521">
        <f t="shared" si="0"/>
        <v>0</v>
      </c>
      <c r="O57" s="551"/>
      <c r="P57" s="551"/>
    </row>
    <row r="58" spans="1:17" ht="17.399999999999999" customHeight="1">
      <c r="A58" s="470" t="s">
        <v>178</v>
      </c>
      <c r="B58" s="470"/>
      <c r="C58" s="470"/>
      <c r="D58" s="470"/>
      <c r="E58" s="562" t="s">
        <v>662</v>
      </c>
      <c r="F58" s="519"/>
      <c r="G58" s="563">
        <v>1830</v>
      </c>
      <c r="H58" s="442">
        <v>1830</v>
      </c>
      <c r="M58" s="499">
        <v>3905</v>
      </c>
      <c r="N58" s="521">
        <f t="shared" si="0"/>
        <v>8000</v>
      </c>
      <c r="O58" s="551">
        <f>3905+8000</f>
        <v>11905</v>
      </c>
      <c r="P58" s="551"/>
      <c r="Q58" s="462" t="s">
        <v>679</v>
      </c>
    </row>
    <row r="59" spans="1:17" ht="17.399999999999999" hidden="1" customHeight="1">
      <c r="A59" s="470" t="s">
        <v>178</v>
      </c>
      <c r="B59" s="470"/>
      <c r="C59" s="470"/>
      <c r="D59" s="470"/>
      <c r="E59" s="562" t="s">
        <v>15</v>
      </c>
      <c r="F59" s="519"/>
      <c r="G59" s="563">
        <v>2075</v>
      </c>
      <c r="H59" s="442">
        <v>2075</v>
      </c>
      <c r="M59" s="499" t="s">
        <v>178</v>
      </c>
      <c r="N59" s="521" t="e">
        <f t="shared" si="0"/>
        <v>#VALUE!</v>
      </c>
      <c r="O59" s="551" t="s">
        <v>178</v>
      </c>
      <c r="P59" s="551"/>
    </row>
    <row r="60" spans="1:17" ht="17.399999999999999" hidden="1" customHeight="1">
      <c r="A60" s="470" t="s">
        <v>178</v>
      </c>
      <c r="B60" s="470"/>
      <c r="C60" s="470"/>
      <c r="D60" s="470"/>
      <c r="E60" s="562" t="s">
        <v>71</v>
      </c>
      <c r="F60" s="519"/>
      <c r="G60" s="563">
        <v>900</v>
      </c>
      <c r="H60" s="433">
        <v>900</v>
      </c>
      <c r="J60" s="500" t="s">
        <v>651</v>
      </c>
      <c r="M60" s="499"/>
      <c r="N60" s="521">
        <f t="shared" si="0"/>
        <v>0</v>
      </c>
      <c r="O60" s="551"/>
      <c r="P60" s="551"/>
    </row>
    <row r="61" spans="1:17" ht="17.399999999999999" hidden="1" customHeight="1">
      <c r="A61" s="470" t="s">
        <v>178</v>
      </c>
      <c r="B61" s="470"/>
      <c r="C61" s="470"/>
      <c r="D61" s="470"/>
      <c r="E61" s="562" t="s">
        <v>20</v>
      </c>
      <c r="F61" s="519"/>
      <c r="G61" s="563">
        <v>300</v>
      </c>
      <c r="H61" s="442">
        <v>300</v>
      </c>
      <c r="M61" s="499"/>
      <c r="N61" s="521">
        <f t="shared" si="0"/>
        <v>0</v>
      </c>
      <c r="O61" s="551"/>
      <c r="P61" s="551"/>
    </row>
    <row r="62" spans="1:17" ht="17.399999999999999" hidden="1" customHeight="1">
      <c r="A62" s="470" t="s">
        <v>178</v>
      </c>
      <c r="B62" s="470"/>
      <c r="C62" s="470"/>
      <c r="D62" s="470"/>
      <c r="E62" s="562" t="s">
        <v>73</v>
      </c>
      <c r="F62" s="519"/>
      <c r="G62" s="563">
        <v>200</v>
      </c>
      <c r="H62" s="442">
        <v>200</v>
      </c>
      <c r="M62" s="499"/>
      <c r="N62" s="521">
        <f t="shared" si="0"/>
        <v>0</v>
      </c>
      <c r="O62" s="551"/>
      <c r="P62" s="551"/>
    </row>
    <row r="63" spans="1:17" ht="17.399999999999999" hidden="1" customHeight="1">
      <c r="A63" s="470" t="s">
        <v>178</v>
      </c>
      <c r="B63" s="470"/>
      <c r="C63" s="470"/>
      <c r="D63" s="470"/>
      <c r="E63" s="562" t="s">
        <v>74</v>
      </c>
      <c r="F63" s="519"/>
      <c r="G63" s="563">
        <v>500</v>
      </c>
      <c r="H63" s="442">
        <v>500</v>
      </c>
      <c r="M63" s="499"/>
      <c r="N63" s="521">
        <f t="shared" si="0"/>
        <v>0</v>
      </c>
      <c r="O63" s="551"/>
      <c r="P63" s="551"/>
    </row>
    <row r="64" spans="1:17" ht="17.399999999999999" customHeight="1">
      <c r="A64" s="470" t="s">
        <v>178</v>
      </c>
      <c r="B64" s="470"/>
      <c r="C64" s="470"/>
      <c r="D64" s="470"/>
      <c r="E64" s="477" t="s">
        <v>167</v>
      </c>
      <c r="F64" s="519">
        <v>1600</v>
      </c>
      <c r="G64" s="520">
        <v>1800</v>
      </c>
      <c r="H64" s="433">
        <v>1800</v>
      </c>
      <c r="M64" s="499">
        <v>2700</v>
      </c>
      <c r="N64" s="521">
        <f t="shared" si="0"/>
        <v>0</v>
      </c>
      <c r="O64" s="551">
        <v>2700</v>
      </c>
      <c r="P64" s="551"/>
      <c r="Q64" s="462" t="s">
        <v>684</v>
      </c>
    </row>
    <row r="65" spans="1:17" ht="17.399999999999999" customHeight="1">
      <c r="A65" s="470"/>
      <c r="B65" s="470"/>
      <c r="C65" s="470"/>
      <c r="D65" s="470"/>
      <c r="E65" s="477" t="s">
        <v>625</v>
      </c>
      <c r="F65" s="519"/>
      <c r="G65" s="520">
        <v>1800</v>
      </c>
      <c r="H65" s="433">
        <v>1800</v>
      </c>
      <c r="I65" s="493" t="s">
        <v>178</v>
      </c>
      <c r="M65" s="499">
        <v>1800</v>
      </c>
      <c r="N65" s="521">
        <f t="shared" si="0"/>
        <v>0</v>
      </c>
      <c r="O65" s="551">
        <v>1800</v>
      </c>
      <c r="P65" s="551"/>
    </row>
    <row r="66" spans="1:17" ht="17.399999999999999" customHeight="1">
      <c r="A66" s="470"/>
      <c r="B66" s="470"/>
      <c r="C66" s="470"/>
      <c r="D66" s="470"/>
      <c r="E66" s="564" t="s">
        <v>642</v>
      </c>
      <c r="F66" s="565"/>
      <c r="G66" s="520">
        <v>3000</v>
      </c>
      <c r="H66" s="433">
        <v>0</v>
      </c>
      <c r="I66" s="566" t="s">
        <v>643</v>
      </c>
      <c r="J66" s="500" t="s">
        <v>647</v>
      </c>
      <c r="M66" s="499">
        <v>3000</v>
      </c>
      <c r="N66" s="521">
        <f t="shared" si="0"/>
        <v>0</v>
      </c>
      <c r="O66" s="551">
        <v>3000</v>
      </c>
      <c r="P66" s="551"/>
    </row>
    <row r="67" spans="1:17" ht="17.399999999999999" customHeight="1">
      <c r="A67" s="470" t="s">
        <v>178</v>
      </c>
      <c r="B67" s="470"/>
      <c r="C67" s="470"/>
      <c r="D67" s="470"/>
      <c r="E67" s="477" t="s">
        <v>10</v>
      </c>
      <c r="F67" s="519">
        <v>3000</v>
      </c>
      <c r="G67" s="520">
        <v>2750</v>
      </c>
      <c r="H67" s="442">
        <f>G67:G72</f>
        <v>2750</v>
      </c>
      <c r="M67" s="499">
        <v>2750</v>
      </c>
      <c r="N67" s="521">
        <f t="shared" si="0"/>
        <v>0</v>
      </c>
      <c r="O67" s="551">
        <v>2750</v>
      </c>
      <c r="P67" s="551"/>
    </row>
    <row r="68" spans="1:17" ht="17.399999999999999" customHeight="1">
      <c r="A68" s="470"/>
      <c r="B68" s="470"/>
      <c r="C68" s="470"/>
      <c r="D68" s="470"/>
      <c r="E68" s="477" t="s">
        <v>667</v>
      </c>
      <c r="F68" s="519"/>
      <c r="G68" s="520">
        <v>5000</v>
      </c>
      <c r="H68" s="442">
        <f>G68:G74</f>
        <v>5000</v>
      </c>
      <c r="M68" s="499">
        <v>0</v>
      </c>
      <c r="N68" s="521">
        <f t="shared" si="0"/>
        <v>5000</v>
      </c>
      <c r="O68" s="551">
        <v>5000</v>
      </c>
      <c r="P68" s="551"/>
      <c r="Q68" s="462" t="s">
        <v>680</v>
      </c>
    </row>
    <row r="69" spans="1:17" ht="17.399999999999999" customHeight="1">
      <c r="A69" s="470" t="s">
        <v>178</v>
      </c>
      <c r="B69" s="470"/>
      <c r="C69" s="470"/>
      <c r="D69" s="470"/>
      <c r="E69" s="477" t="s">
        <v>668</v>
      </c>
      <c r="F69" s="519">
        <v>3500</v>
      </c>
      <c r="G69" s="520">
        <v>5000</v>
      </c>
      <c r="H69" s="442">
        <f>G69:G75</f>
        <v>5000</v>
      </c>
      <c r="M69" s="499">
        <v>0</v>
      </c>
      <c r="N69" s="521">
        <f t="shared" si="0"/>
        <v>5000</v>
      </c>
      <c r="O69" s="551">
        <v>5000</v>
      </c>
      <c r="P69" s="551"/>
      <c r="Q69" s="567" t="s">
        <v>669</v>
      </c>
    </row>
    <row r="70" spans="1:17" ht="17.399999999999999" customHeight="1">
      <c r="A70" s="470" t="s">
        <v>178</v>
      </c>
      <c r="B70" s="470"/>
      <c r="C70" s="470"/>
      <c r="D70" s="470"/>
      <c r="E70" s="477" t="s">
        <v>169</v>
      </c>
      <c r="F70" s="519"/>
      <c r="G70" s="520">
        <v>5000</v>
      </c>
      <c r="H70" s="442">
        <f>G70:G76</f>
        <v>5000</v>
      </c>
      <c r="M70" s="499">
        <v>0</v>
      </c>
      <c r="N70" s="521">
        <f t="shared" si="0"/>
        <v>5000</v>
      </c>
      <c r="O70" s="551">
        <v>5000</v>
      </c>
      <c r="P70" s="551"/>
      <c r="Q70" s="567" t="s">
        <v>669</v>
      </c>
    </row>
    <row r="71" spans="1:17" ht="17.399999999999999" customHeight="1">
      <c r="A71" s="470" t="s">
        <v>178</v>
      </c>
      <c r="B71" s="470"/>
      <c r="C71" s="470"/>
      <c r="D71" s="470"/>
      <c r="E71" s="477" t="s">
        <v>170</v>
      </c>
      <c r="F71" s="519"/>
      <c r="G71" s="520">
        <v>5000</v>
      </c>
      <c r="H71" s="442">
        <f>G71:G78</f>
        <v>5000</v>
      </c>
      <c r="M71" s="499">
        <v>0</v>
      </c>
      <c r="N71" s="521">
        <f t="shared" si="0"/>
        <v>5000</v>
      </c>
      <c r="O71" s="551">
        <v>5000</v>
      </c>
      <c r="P71" s="551"/>
      <c r="Q71" s="567" t="s">
        <v>669</v>
      </c>
    </row>
    <row r="72" spans="1:17" ht="17.399999999999999" customHeight="1">
      <c r="A72" s="470" t="s">
        <v>178</v>
      </c>
      <c r="B72" s="470"/>
      <c r="C72" s="470"/>
      <c r="D72" s="470"/>
      <c r="E72" s="477" t="s">
        <v>171</v>
      </c>
      <c r="F72" s="519"/>
      <c r="G72" s="520">
        <v>5000</v>
      </c>
      <c r="H72" s="442">
        <f>G72:G79</f>
        <v>5000</v>
      </c>
      <c r="M72" s="499">
        <v>0</v>
      </c>
      <c r="N72" s="521">
        <f t="shared" si="0"/>
        <v>5000</v>
      </c>
      <c r="O72" s="551">
        <v>5000</v>
      </c>
      <c r="P72" s="551"/>
      <c r="Q72" s="567" t="s">
        <v>669</v>
      </c>
    </row>
    <row r="73" spans="1:17" ht="17.399999999999999" customHeight="1">
      <c r="A73" s="470"/>
      <c r="B73" s="470"/>
      <c r="C73" s="470"/>
      <c r="D73" s="470"/>
      <c r="E73" s="568" t="s">
        <v>700</v>
      </c>
      <c r="F73" s="569"/>
      <c r="G73" s="570"/>
      <c r="H73" s="457"/>
      <c r="I73" s="571"/>
      <c r="J73" s="572"/>
      <c r="K73" s="572"/>
      <c r="L73" s="572"/>
      <c r="M73" s="573">
        <v>0</v>
      </c>
      <c r="N73" s="574">
        <v>0</v>
      </c>
      <c r="O73" s="575">
        <v>30000</v>
      </c>
      <c r="P73" s="575"/>
      <c r="Q73" s="576" t="s">
        <v>674</v>
      </c>
    </row>
    <row r="74" spans="1:17" s="476" customFormat="1" ht="17.399999999999999" customHeight="1">
      <c r="A74" s="470"/>
      <c r="B74" s="470"/>
      <c r="C74" s="470"/>
      <c r="D74" s="470"/>
      <c r="E74" s="491" t="s">
        <v>184</v>
      </c>
      <c r="F74" s="526">
        <f>SUM(F43:F72)</f>
        <v>97460</v>
      </c>
      <c r="G74" s="577">
        <f>SUM(G43:G72)</f>
        <v>279391</v>
      </c>
      <c r="H74" s="578">
        <f>SUM(H43:H72)</f>
        <v>267111</v>
      </c>
      <c r="I74" s="578">
        <f>SUM(I43:I72)</f>
        <v>0</v>
      </c>
      <c r="J74" s="578" t="s">
        <v>178</v>
      </c>
      <c r="K74" s="578"/>
      <c r="L74" s="578"/>
      <c r="M74" s="499">
        <f>SUM(M43:M73)</f>
        <v>286241</v>
      </c>
      <c r="N74" s="521">
        <f>N72+N71+N70+N69+N68+N58+N54</f>
        <v>53000</v>
      </c>
      <c r="O74" s="551">
        <f>SUM(O43:O73)</f>
        <v>369241</v>
      </c>
      <c r="P74" s="551"/>
    </row>
    <row r="75" spans="1:17" ht="17.399999999999999" customHeight="1">
      <c r="A75" s="470"/>
      <c r="B75" s="470"/>
      <c r="C75" s="470"/>
      <c r="D75" s="470"/>
      <c r="E75" s="549" t="s">
        <v>185</v>
      </c>
      <c r="F75" s="519"/>
      <c r="G75" s="520" t="s">
        <v>178</v>
      </c>
      <c r="M75" s="499" t="s">
        <v>178</v>
      </c>
      <c r="N75" s="521" t="s">
        <v>178</v>
      </c>
      <c r="O75" s="551" t="s">
        <v>178</v>
      </c>
      <c r="P75" s="551"/>
    </row>
    <row r="76" spans="1:17" ht="17.399999999999999" customHeight="1">
      <c r="A76" s="470"/>
      <c r="B76" s="470"/>
      <c r="C76" s="470"/>
      <c r="D76" s="470"/>
      <c r="E76" s="477" t="s">
        <v>186</v>
      </c>
      <c r="F76" s="519">
        <v>10000</v>
      </c>
      <c r="G76" s="520">
        <v>10000</v>
      </c>
      <c r="H76" s="442">
        <f>G76</f>
        <v>10000</v>
      </c>
      <c r="M76" s="499">
        <v>15000</v>
      </c>
      <c r="N76" s="521">
        <f t="shared" si="0"/>
        <v>0</v>
      </c>
      <c r="O76" s="551">
        <v>15000</v>
      </c>
      <c r="P76" s="551"/>
      <c r="Q76" s="462" t="s">
        <v>688</v>
      </c>
    </row>
    <row r="77" spans="1:17" ht="17.399999999999999" customHeight="1">
      <c r="A77" s="470"/>
      <c r="B77" s="470"/>
      <c r="C77" s="470"/>
      <c r="D77" s="470"/>
      <c r="E77" s="477" t="s">
        <v>686</v>
      </c>
      <c r="F77" s="519"/>
      <c r="G77" s="520">
        <v>19600</v>
      </c>
      <c r="H77" s="442">
        <f>G77</f>
        <v>19600</v>
      </c>
      <c r="M77" s="499">
        <v>19600</v>
      </c>
      <c r="N77" s="521">
        <f t="shared" si="0"/>
        <v>0</v>
      </c>
      <c r="O77" s="551">
        <v>19600</v>
      </c>
      <c r="P77" s="551"/>
      <c r="Q77" s="462" t="s">
        <v>687</v>
      </c>
    </row>
    <row r="78" spans="1:17" ht="17.399999999999999" customHeight="1">
      <c r="A78" s="470"/>
      <c r="B78" s="470"/>
      <c r="C78" s="470"/>
      <c r="D78" s="470"/>
      <c r="E78" s="477" t="s">
        <v>576</v>
      </c>
      <c r="F78" s="519"/>
      <c r="G78" s="520">
        <v>241337</v>
      </c>
      <c r="H78" s="433">
        <v>175000</v>
      </c>
      <c r="M78" s="499">
        <v>240000</v>
      </c>
      <c r="N78" s="521">
        <f t="shared" si="0"/>
        <v>0</v>
      </c>
      <c r="O78" s="551">
        <v>240000</v>
      </c>
      <c r="P78" s="551"/>
      <c r="Q78" s="462" t="s">
        <v>689</v>
      </c>
    </row>
    <row r="79" spans="1:17" ht="17.399999999999999" customHeight="1">
      <c r="A79" s="470"/>
      <c r="B79" s="470"/>
      <c r="C79" s="470"/>
      <c r="D79" s="470"/>
      <c r="E79" s="477" t="s">
        <v>624</v>
      </c>
      <c r="F79" s="519"/>
      <c r="G79" s="520">
        <v>9400</v>
      </c>
      <c r="H79" s="442">
        <f>G79</f>
        <v>9400</v>
      </c>
      <c r="M79" s="499">
        <v>9400</v>
      </c>
      <c r="N79" s="521">
        <f t="shared" si="0"/>
        <v>0</v>
      </c>
      <c r="O79" s="551">
        <v>9400</v>
      </c>
      <c r="P79" s="551"/>
    </row>
    <row r="80" spans="1:17" ht="17.399999999999999" customHeight="1">
      <c r="A80" s="470"/>
      <c r="B80" s="470"/>
      <c r="C80" s="470"/>
      <c r="D80" s="470"/>
      <c r="E80" s="477" t="s">
        <v>187</v>
      </c>
      <c r="F80" s="579">
        <v>3500</v>
      </c>
      <c r="G80" s="580">
        <v>2000</v>
      </c>
      <c r="H80" s="442">
        <f>G80</f>
        <v>2000</v>
      </c>
      <c r="M80" s="581">
        <v>0</v>
      </c>
      <c r="N80" s="582">
        <f t="shared" si="0"/>
        <v>1000</v>
      </c>
      <c r="O80" s="583">
        <v>1000</v>
      </c>
      <c r="P80" s="583"/>
      <c r="Q80" s="462" t="s">
        <v>670</v>
      </c>
    </row>
    <row r="81" spans="1:17" s="476" customFormat="1" ht="17.399999999999999" customHeight="1">
      <c r="A81" s="470"/>
      <c r="B81" s="470"/>
      <c r="C81" s="470"/>
      <c r="D81" s="470"/>
      <c r="E81" s="491" t="s">
        <v>184</v>
      </c>
      <c r="F81" s="526">
        <f>SUM(F76:F80)</f>
        <v>13500</v>
      </c>
      <c r="G81" s="577">
        <f>SUM(G76:G80)</f>
        <v>282337</v>
      </c>
      <c r="H81" s="578">
        <f>SUM(H76:H80)</f>
        <v>216000</v>
      </c>
      <c r="I81" s="473"/>
      <c r="J81" s="475"/>
      <c r="K81" s="475"/>
      <c r="L81" s="475"/>
      <c r="M81" s="499">
        <f>SUM(M76:M80)</f>
        <v>284000</v>
      </c>
      <c r="N81" s="521">
        <f t="shared" si="0"/>
        <v>1000</v>
      </c>
      <c r="O81" s="551">
        <f>SUM(O76:O80)</f>
        <v>285000</v>
      </c>
      <c r="P81" s="551"/>
    </row>
    <row r="82" spans="1:17" ht="20.100000000000001" customHeight="1">
      <c r="A82" s="470"/>
      <c r="B82" s="470"/>
      <c r="C82" s="470"/>
      <c r="D82" s="470"/>
      <c r="E82" s="549" t="s">
        <v>188</v>
      </c>
      <c r="F82" s="519"/>
      <c r="G82" s="520" t="s">
        <v>178</v>
      </c>
      <c r="M82" s="499"/>
      <c r="N82" s="521">
        <f t="shared" si="0"/>
        <v>0</v>
      </c>
      <c r="O82" s="551"/>
      <c r="P82" s="551"/>
    </row>
    <row r="83" spans="1:17" ht="19.5" customHeight="1">
      <c r="A83" s="470"/>
      <c r="B83" s="470"/>
      <c r="C83" s="470"/>
      <c r="D83" s="470"/>
      <c r="E83" s="477" t="s">
        <v>189</v>
      </c>
      <c r="F83" s="519">
        <v>1000</v>
      </c>
      <c r="G83" s="520">
        <v>1000</v>
      </c>
      <c r="H83" s="443">
        <f>G83</f>
        <v>1000</v>
      </c>
      <c r="M83" s="499">
        <v>800</v>
      </c>
      <c r="N83" s="521">
        <f t="shared" si="0"/>
        <v>200</v>
      </c>
      <c r="O83" s="551">
        <v>1000</v>
      </c>
      <c r="P83" s="551"/>
      <c r="Q83" s="462" t="s">
        <v>671</v>
      </c>
    </row>
    <row r="84" spans="1:17" ht="21" customHeight="1">
      <c r="A84" s="470"/>
      <c r="B84" s="470"/>
      <c r="C84" s="470"/>
      <c r="D84" s="470"/>
      <c r="E84" s="477" t="s">
        <v>190</v>
      </c>
      <c r="F84" s="519">
        <v>2000</v>
      </c>
      <c r="G84" s="520">
        <v>2000</v>
      </c>
      <c r="H84" s="443">
        <f>G84</f>
        <v>2000</v>
      </c>
      <c r="M84" s="499">
        <v>2000</v>
      </c>
      <c r="N84" s="521">
        <f t="shared" si="0"/>
        <v>0</v>
      </c>
      <c r="O84" s="551">
        <v>2000</v>
      </c>
      <c r="P84" s="551"/>
      <c r="Q84" s="462" t="s">
        <v>697</v>
      </c>
    </row>
    <row r="85" spans="1:17" ht="20.100000000000001" customHeight="1">
      <c r="A85" s="470"/>
      <c r="B85" s="470"/>
      <c r="C85" s="470"/>
      <c r="D85" s="470"/>
      <c r="E85" s="477" t="s">
        <v>81</v>
      </c>
      <c r="F85" s="579">
        <v>1500</v>
      </c>
      <c r="G85" s="520">
        <v>4000</v>
      </c>
      <c r="H85" s="434">
        <v>0</v>
      </c>
      <c r="M85" s="499">
        <v>0</v>
      </c>
      <c r="N85" s="521">
        <f t="shared" si="0"/>
        <v>4000</v>
      </c>
      <c r="O85" s="551">
        <v>4000</v>
      </c>
      <c r="P85" s="551"/>
      <c r="Q85" s="462" t="s">
        <v>683</v>
      </c>
    </row>
    <row r="86" spans="1:17" ht="20.100000000000001" customHeight="1">
      <c r="A86" s="470"/>
      <c r="B86" s="470"/>
      <c r="C86" s="470"/>
      <c r="D86" s="470"/>
      <c r="E86" s="477" t="s">
        <v>681</v>
      </c>
      <c r="F86" s="519"/>
      <c r="G86" s="520">
        <v>1000</v>
      </c>
      <c r="H86" s="434">
        <v>1000</v>
      </c>
      <c r="M86" s="581">
        <v>4000</v>
      </c>
      <c r="N86" s="582">
        <f t="shared" si="0"/>
        <v>0</v>
      </c>
      <c r="O86" s="583">
        <v>4000</v>
      </c>
      <c r="P86" s="583"/>
    </row>
    <row r="87" spans="1:17" ht="20.100000000000001" hidden="1" customHeight="1">
      <c r="A87" s="470"/>
      <c r="B87" s="470"/>
      <c r="C87" s="470"/>
      <c r="D87" s="470"/>
      <c r="E87" s="477" t="s">
        <v>317</v>
      </c>
      <c r="F87" s="579"/>
      <c r="G87" s="520">
        <v>1000</v>
      </c>
      <c r="H87" s="434">
        <v>1000</v>
      </c>
      <c r="M87" s="499" t="s">
        <v>178</v>
      </c>
      <c r="N87" s="521" t="e">
        <f t="shared" si="0"/>
        <v>#VALUE!</v>
      </c>
      <c r="O87" s="551" t="s">
        <v>178</v>
      </c>
      <c r="P87" s="551"/>
    </row>
    <row r="88" spans="1:17" ht="20.100000000000001" hidden="1" customHeight="1">
      <c r="A88" s="470"/>
      <c r="B88" s="470"/>
      <c r="C88" s="470"/>
      <c r="D88" s="470"/>
      <c r="E88" s="477" t="s">
        <v>318</v>
      </c>
      <c r="F88" s="579"/>
      <c r="G88" s="580">
        <v>1000</v>
      </c>
      <c r="H88" s="434">
        <v>1000</v>
      </c>
      <c r="M88" s="581" t="s">
        <v>178</v>
      </c>
      <c r="N88" s="521" t="e">
        <f t="shared" si="0"/>
        <v>#VALUE!</v>
      </c>
      <c r="O88" s="583" t="s">
        <v>178</v>
      </c>
      <c r="P88" s="583"/>
    </row>
    <row r="89" spans="1:17" s="476" customFormat="1" ht="20.100000000000001" customHeight="1">
      <c r="A89" s="470"/>
      <c r="B89" s="470"/>
      <c r="C89" s="470"/>
      <c r="D89" s="470"/>
      <c r="E89" s="491" t="s">
        <v>184</v>
      </c>
      <c r="F89" s="584">
        <f>SUM(F83:F86)</f>
        <v>4500</v>
      </c>
      <c r="G89" s="577">
        <f>SUM(G83:G88)</f>
        <v>10000</v>
      </c>
      <c r="H89" s="578">
        <f>SUM(H83:H88)</f>
        <v>6000</v>
      </c>
      <c r="I89" s="473"/>
      <c r="J89" s="475"/>
      <c r="K89" s="475"/>
      <c r="L89" s="475"/>
      <c r="M89" s="499">
        <f>SUM(M83:M88)</f>
        <v>6800</v>
      </c>
      <c r="N89" s="521">
        <f>N83+N85</f>
        <v>4200</v>
      </c>
      <c r="O89" s="551">
        <f>SUM(O83:O88)</f>
        <v>11000</v>
      </c>
      <c r="P89" s="551"/>
    </row>
    <row r="90" spans="1:17" ht="20.100000000000001" customHeight="1">
      <c r="A90" s="470"/>
      <c r="B90" s="470"/>
      <c r="C90" s="470"/>
      <c r="D90" s="470"/>
      <c r="E90" s="549" t="s">
        <v>191</v>
      </c>
      <c r="F90" s="585"/>
      <c r="G90" s="520" t="s">
        <v>178</v>
      </c>
      <c r="M90" s="499"/>
      <c r="N90" s="521">
        <f t="shared" si="0"/>
        <v>0</v>
      </c>
      <c r="O90" s="551"/>
      <c r="P90" s="551"/>
    </row>
    <row r="91" spans="1:17" ht="20.100000000000001" customHeight="1">
      <c r="A91" s="470"/>
      <c r="B91" s="470"/>
      <c r="C91" s="470"/>
      <c r="D91" s="470"/>
      <c r="E91" s="477" t="s">
        <v>192</v>
      </c>
      <c r="F91" s="519">
        <v>10000</v>
      </c>
      <c r="G91" s="520">
        <v>16000</v>
      </c>
      <c r="H91" s="434">
        <v>1200</v>
      </c>
      <c r="M91" s="499">
        <v>16000</v>
      </c>
      <c r="N91" s="521">
        <f t="shared" si="0"/>
        <v>0</v>
      </c>
      <c r="O91" s="551">
        <v>16000</v>
      </c>
      <c r="P91" s="551"/>
      <c r="Q91" s="462" t="s">
        <v>690</v>
      </c>
    </row>
    <row r="92" spans="1:17" ht="20.100000000000001" customHeight="1">
      <c r="A92" s="470"/>
      <c r="B92" s="470"/>
      <c r="C92" s="470"/>
      <c r="D92" s="470"/>
      <c r="E92" s="477" t="s">
        <v>193</v>
      </c>
      <c r="F92" s="519">
        <v>10000</v>
      </c>
      <c r="G92" s="520">
        <v>14300</v>
      </c>
      <c r="H92" s="434">
        <v>11596.39</v>
      </c>
      <c r="M92" s="499">
        <v>18300</v>
      </c>
      <c r="N92" s="521">
        <f t="shared" si="0"/>
        <v>0</v>
      </c>
      <c r="O92" s="551">
        <v>18300</v>
      </c>
      <c r="P92" s="551"/>
    </row>
    <row r="93" spans="1:17" ht="20.100000000000001" customHeight="1">
      <c r="A93" s="470"/>
      <c r="B93" s="470"/>
      <c r="C93" s="470"/>
      <c r="D93" s="470"/>
      <c r="E93" s="477" t="s">
        <v>672</v>
      </c>
      <c r="F93" s="579">
        <v>1500</v>
      </c>
      <c r="G93" s="580">
        <v>1500</v>
      </c>
      <c r="H93" s="443">
        <f>G93</f>
        <v>1500</v>
      </c>
      <c r="M93" s="581">
        <v>1500</v>
      </c>
      <c r="N93" s="582">
        <f t="shared" si="0"/>
        <v>0</v>
      </c>
      <c r="O93" s="583">
        <v>1500</v>
      </c>
      <c r="P93" s="583"/>
    </row>
    <row r="94" spans="1:17" s="476" customFormat="1" ht="20.100000000000001" customHeight="1">
      <c r="A94" s="470"/>
      <c r="B94" s="470"/>
      <c r="C94" s="470"/>
      <c r="D94" s="470"/>
      <c r="E94" s="491" t="s">
        <v>184</v>
      </c>
      <c r="F94" s="586">
        <f>SUM(F91:F93)</f>
        <v>21500</v>
      </c>
      <c r="G94" s="577">
        <f>SUM(G91:G93)</f>
        <v>31800</v>
      </c>
      <c r="H94" s="578">
        <f>SUM(H91:H93)</f>
        <v>14296.39</v>
      </c>
      <c r="I94" s="473"/>
      <c r="J94" s="475"/>
      <c r="K94" s="475"/>
      <c r="L94" s="475"/>
      <c r="M94" s="499">
        <f>SUM(M91:M93)</f>
        <v>35800</v>
      </c>
      <c r="N94" s="521">
        <f>SUM(N91:N93)</f>
        <v>0</v>
      </c>
      <c r="O94" s="551">
        <f>SUM(O91:O93)</f>
        <v>35800</v>
      </c>
      <c r="P94" s="551"/>
    </row>
    <row r="95" spans="1:17" ht="17.25" customHeight="1">
      <c r="A95" s="470"/>
      <c r="B95" s="470"/>
      <c r="C95" s="470"/>
      <c r="D95" s="470"/>
      <c r="E95" s="549" t="s">
        <v>194</v>
      </c>
      <c r="F95" s="519"/>
      <c r="G95" s="520" t="s">
        <v>178</v>
      </c>
      <c r="M95" s="499"/>
      <c r="N95" s="521">
        <f t="shared" si="0"/>
        <v>0</v>
      </c>
      <c r="O95" s="551"/>
      <c r="P95" s="551"/>
    </row>
    <row r="96" spans="1:17" ht="20.100000000000001" customHeight="1">
      <c r="A96" s="470"/>
      <c r="B96" s="470"/>
      <c r="C96" s="470"/>
      <c r="D96" s="470"/>
      <c r="E96" s="477" t="s">
        <v>663</v>
      </c>
      <c r="F96" s="519">
        <v>1500</v>
      </c>
      <c r="G96" s="520">
        <v>2000</v>
      </c>
      <c r="H96" s="433">
        <v>1555.46</v>
      </c>
      <c r="M96" s="499">
        <v>2600</v>
      </c>
      <c r="N96" s="521">
        <f t="shared" si="0"/>
        <v>0</v>
      </c>
      <c r="O96" s="551">
        <v>2600</v>
      </c>
      <c r="P96" s="551"/>
    </row>
    <row r="97" spans="1:223" ht="20.100000000000001" customHeight="1">
      <c r="A97" s="470"/>
      <c r="B97" s="470"/>
      <c r="C97" s="470"/>
      <c r="D97" s="470"/>
      <c r="E97" s="477" t="s">
        <v>579</v>
      </c>
      <c r="F97" s="519">
        <v>500</v>
      </c>
      <c r="G97" s="520">
        <v>1200</v>
      </c>
      <c r="H97" s="438"/>
      <c r="M97" s="499">
        <v>1200</v>
      </c>
      <c r="N97" s="521">
        <f t="shared" si="0"/>
        <v>0</v>
      </c>
      <c r="O97" s="551">
        <v>1200</v>
      </c>
      <c r="P97" s="551"/>
    </row>
    <row r="98" spans="1:223" ht="20.100000000000001" customHeight="1">
      <c r="A98" s="470"/>
      <c r="B98" s="470"/>
      <c r="C98" s="470"/>
      <c r="D98" s="470"/>
      <c r="E98" s="477" t="s">
        <v>673</v>
      </c>
      <c r="F98" s="519"/>
      <c r="G98" s="520"/>
      <c r="H98" s="438"/>
      <c r="M98" s="499">
        <v>0</v>
      </c>
      <c r="N98" s="521">
        <f t="shared" si="0"/>
        <v>800</v>
      </c>
      <c r="O98" s="551">
        <v>800</v>
      </c>
      <c r="P98" s="551"/>
      <c r="Q98" s="462" t="s">
        <v>674</v>
      </c>
    </row>
    <row r="99" spans="1:223" ht="20.100000000000001" customHeight="1">
      <c r="A99" s="470"/>
      <c r="B99" s="470"/>
      <c r="C99" s="470"/>
      <c r="D99" s="470"/>
      <c r="E99" s="477" t="s">
        <v>116</v>
      </c>
      <c r="F99" s="519">
        <v>500</v>
      </c>
      <c r="G99" s="520">
        <v>800</v>
      </c>
      <c r="H99" s="434">
        <v>212</v>
      </c>
      <c r="M99" s="499">
        <v>500</v>
      </c>
      <c r="N99" s="521">
        <f t="shared" si="0"/>
        <v>0</v>
      </c>
      <c r="O99" s="551">
        <v>500</v>
      </c>
      <c r="P99" s="551"/>
    </row>
    <row r="100" spans="1:223" ht="20.100000000000001" customHeight="1">
      <c r="A100" s="470"/>
      <c r="B100" s="470"/>
      <c r="C100" s="470"/>
      <c r="D100" s="470"/>
      <c r="E100" s="477" t="s">
        <v>86</v>
      </c>
      <c r="F100" s="519">
        <v>500</v>
      </c>
      <c r="G100" s="520">
        <v>500</v>
      </c>
      <c r="H100" s="434"/>
      <c r="M100" s="499">
        <v>0</v>
      </c>
      <c r="N100" s="521">
        <f t="shared" si="0"/>
        <v>500</v>
      </c>
      <c r="O100" s="551">
        <v>500</v>
      </c>
      <c r="P100" s="551"/>
    </row>
    <row r="101" spans="1:223" ht="20.100000000000001" hidden="1" customHeight="1">
      <c r="A101" s="470"/>
      <c r="B101" s="470"/>
      <c r="C101" s="470"/>
      <c r="D101" s="470"/>
      <c r="E101" s="477" t="s">
        <v>117</v>
      </c>
      <c r="F101" s="585">
        <v>800</v>
      </c>
      <c r="G101" s="520">
        <v>800</v>
      </c>
      <c r="H101" s="434"/>
      <c r="M101" s="499">
        <v>0</v>
      </c>
      <c r="N101" s="521">
        <f t="shared" si="0"/>
        <v>0</v>
      </c>
      <c r="O101" s="551">
        <v>0</v>
      </c>
      <c r="P101" s="551"/>
    </row>
    <row r="102" spans="1:223" ht="20.100000000000001" hidden="1" customHeight="1">
      <c r="A102" s="470"/>
      <c r="B102" s="470"/>
      <c r="C102" s="470"/>
      <c r="D102" s="470"/>
      <c r="E102" s="477" t="s">
        <v>118</v>
      </c>
      <c r="F102" s="519">
        <v>500</v>
      </c>
      <c r="G102" s="520">
        <v>500</v>
      </c>
      <c r="H102" s="434">
        <v>304.85000000000002</v>
      </c>
      <c r="M102" s="499">
        <v>0</v>
      </c>
      <c r="N102" s="521">
        <f t="shared" si="0"/>
        <v>0</v>
      </c>
      <c r="O102" s="551">
        <v>0</v>
      </c>
      <c r="P102" s="551"/>
    </row>
    <row r="103" spans="1:223" ht="20.100000000000001" hidden="1" customHeight="1">
      <c r="A103" s="470"/>
      <c r="B103" s="470"/>
      <c r="C103" s="470"/>
      <c r="D103" s="470"/>
      <c r="E103" s="477" t="s">
        <v>119</v>
      </c>
      <c r="F103" s="519">
        <v>750</v>
      </c>
      <c r="G103" s="520">
        <v>750</v>
      </c>
      <c r="H103" s="434"/>
      <c r="M103" s="499">
        <v>0</v>
      </c>
      <c r="N103" s="521">
        <f t="shared" si="0"/>
        <v>0</v>
      </c>
      <c r="O103" s="551">
        <v>0</v>
      </c>
      <c r="P103" s="551"/>
    </row>
    <row r="104" spans="1:223" ht="20.100000000000001" customHeight="1">
      <c r="A104" s="470"/>
      <c r="B104" s="470"/>
      <c r="C104" s="470"/>
      <c r="D104" s="470"/>
      <c r="E104" s="477" t="s">
        <v>120</v>
      </c>
      <c r="F104" s="519">
        <v>100</v>
      </c>
      <c r="G104" s="520">
        <v>100</v>
      </c>
      <c r="H104" s="439"/>
      <c r="M104" s="499">
        <v>100</v>
      </c>
      <c r="N104" s="521">
        <f t="shared" si="0"/>
        <v>0</v>
      </c>
      <c r="O104" s="551">
        <v>100</v>
      </c>
      <c r="P104" s="551"/>
    </row>
    <row r="105" spans="1:223" ht="20.100000000000001" customHeight="1">
      <c r="A105" s="470"/>
      <c r="B105" s="470"/>
      <c r="C105" s="470"/>
      <c r="D105" s="470"/>
      <c r="E105" s="477" t="s">
        <v>84</v>
      </c>
      <c r="F105" s="519">
        <v>500</v>
      </c>
      <c r="G105" s="520">
        <v>500</v>
      </c>
      <c r="H105" s="434"/>
      <c r="M105" s="499">
        <v>500</v>
      </c>
      <c r="N105" s="521">
        <f t="shared" si="0"/>
        <v>0</v>
      </c>
      <c r="O105" s="551">
        <v>500</v>
      </c>
      <c r="P105" s="551"/>
    </row>
    <row r="106" spans="1:223" ht="20.100000000000001" customHeight="1">
      <c r="A106" s="470"/>
      <c r="B106" s="470"/>
      <c r="C106" s="470"/>
      <c r="D106" s="470"/>
      <c r="E106" s="477" t="s">
        <v>274</v>
      </c>
      <c r="F106" s="519">
        <v>1000</v>
      </c>
      <c r="G106" s="520">
        <v>1000</v>
      </c>
      <c r="M106" s="499">
        <v>1000</v>
      </c>
      <c r="N106" s="521">
        <f t="shared" si="0"/>
        <v>0</v>
      </c>
      <c r="O106" s="551">
        <v>1000</v>
      </c>
      <c r="P106" s="551"/>
    </row>
    <row r="107" spans="1:223" ht="20.100000000000001" customHeight="1">
      <c r="A107" s="470"/>
      <c r="B107" s="470"/>
      <c r="C107" s="470"/>
      <c r="D107" s="470"/>
      <c r="E107" s="477" t="s">
        <v>275</v>
      </c>
      <c r="F107" s="519">
        <v>500</v>
      </c>
      <c r="G107" s="520">
        <v>500</v>
      </c>
      <c r="H107" s="434">
        <v>304.85000000000002</v>
      </c>
      <c r="M107" s="499">
        <v>1000</v>
      </c>
      <c r="N107" s="521">
        <f t="shared" si="0"/>
        <v>0</v>
      </c>
      <c r="O107" s="551">
        <v>1000</v>
      </c>
      <c r="P107" s="551"/>
    </row>
    <row r="108" spans="1:223" ht="20.100000000000001" customHeight="1">
      <c r="A108" s="470"/>
      <c r="B108" s="470"/>
      <c r="C108" s="470"/>
      <c r="D108" s="470"/>
      <c r="E108" s="477" t="s">
        <v>63</v>
      </c>
      <c r="F108" s="587"/>
      <c r="G108" s="520">
        <v>2000</v>
      </c>
      <c r="I108" s="459"/>
      <c r="J108" s="456"/>
      <c r="K108" s="456"/>
      <c r="L108" s="456"/>
      <c r="M108" s="499">
        <v>1800</v>
      </c>
      <c r="N108" s="521">
        <v>0</v>
      </c>
      <c r="O108" s="551">
        <v>1800</v>
      </c>
      <c r="P108" s="551"/>
      <c r="Q108" s="587" t="s">
        <v>692</v>
      </c>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7"/>
      <c r="AZ108" s="587"/>
      <c r="BA108" s="587"/>
      <c r="BB108" s="587"/>
      <c r="BC108" s="587"/>
      <c r="BD108" s="587"/>
      <c r="BE108" s="587"/>
      <c r="BF108" s="587"/>
      <c r="BG108" s="587"/>
      <c r="BH108" s="587"/>
      <c r="BI108" s="587"/>
      <c r="BJ108" s="587"/>
      <c r="BK108" s="587"/>
      <c r="BL108" s="587"/>
      <c r="BM108" s="587"/>
      <c r="BN108" s="587"/>
      <c r="BO108" s="587"/>
      <c r="BP108" s="587"/>
      <c r="BQ108" s="587"/>
      <c r="BR108" s="587"/>
      <c r="BS108" s="587"/>
      <c r="BT108" s="587"/>
      <c r="BU108" s="587"/>
      <c r="BV108" s="587"/>
      <c r="BW108" s="587"/>
      <c r="BX108" s="587"/>
      <c r="BY108" s="587"/>
      <c r="BZ108" s="587"/>
      <c r="CA108" s="587"/>
      <c r="CB108" s="587"/>
      <c r="CC108" s="587"/>
      <c r="CD108" s="587"/>
      <c r="CE108" s="587"/>
      <c r="CF108" s="587"/>
      <c r="CG108" s="587"/>
      <c r="CH108" s="587"/>
      <c r="CI108" s="587"/>
      <c r="CJ108" s="587"/>
      <c r="CK108" s="587"/>
      <c r="CL108" s="587"/>
      <c r="CM108" s="587"/>
      <c r="CN108" s="587"/>
      <c r="CO108" s="587"/>
      <c r="CP108" s="587"/>
      <c r="CQ108" s="587"/>
      <c r="CR108" s="587"/>
      <c r="CS108" s="587"/>
      <c r="CT108" s="587"/>
      <c r="CU108" s="587"/>
      <c r="CV108" s="587"/>
      <c r="CW108" s="587"/>
      <c r="CX108" s="587"/>
      <c r="CY108" s="587"/>
      <c r="CZ108" s="587"/>
      <c r="DA108" s="587"/>
      <c r="DB108" s="587"/>
      <c r="DC108" s="587"/>
      <c r="DD108" s="587"/>
      <c r="DE108" s="587"/>
      <c r="DF108" s="587"/>
      <c r="DG108" s="587"/>
      <c r="DH108" s="587"/>
      <c r="DI108" s="587"/>
      <c r="DJ108" s="587"/>
      <c r="DK108" s="587"/>
      <c r="DL108" s="587"/>
      <c r="DM108" s="587"/>
      <c r="DN108" s="587"/>
      <c r="DO108" s="587"/>
      <c r="DP108" s="587"/>
      <c r="DQ108" s="587"/>
      <c r="DR108" s="587"/>
      <c r="DS108" s="587"/>
      <c r="DT108" s="587"/>
      <c r="DU108" s="587"/>
      <c r="DV108" s="587"/>
      <c r="DW108" s="587"/>
      <c r="DX108" s="587"/>
      <c r="DY108" s="587"/>
      <c r="DZ108" s="587"/>
      <c r="EA108" s="587"/>
      <c r="EB108" s="587"/>
      <c r="EC108" s="587"/>
      <c r="ED108" s="587"/>
      <c r="EE108" s="587"/>
      <c r="EF108" s="587"/>
      <c r="EG108" s="587"/>
      <c r="EH108" s="587"/>
      <c r="EI108" s="587"/>
      <c r="EJ108" s="587"/>
      <c r="EK108" s="587"/>
      <c r="EL108" s="587"/>
      <c r="EM108" s="587"/>
      <c r="EN108" s="587"/>
      <c r="EO108" s="587"/>
      <c r="EP108" s="587"/>
      <c r="EQ108" s="587"/>
      <c r="ER108" s="587"/>
      <c r="ES108" s="587"/>
      <c r="ET108" s="587"/>
      <c r="EU108" s="587"/>
      <c r="EV108" s="587"/>
      <c r="EW108" s="587"/>
      <c r="EX108" s="587"/>
      <c r="EY108" s="587"/>
      <c r="EZ108" s="587"/>
      <c r="FA108" s="587"/>
      <c r="FB108" s="587"/>
      <c r="FC108" s="587"/>
      <c r="FD108" s="587"/>
      <c r="FE108" s="587"/>
      <c r="FF108" s="587"/>
      <c r="FG108" s="587"/>
      <c r="FH108" s="587"/>
      <c r="FI108" s="587"/>
      <c r="FJ108" s="587"/>
      <c r="FK108" s="587"/>
      <c r="FL108" s="587"/>
      <c r="FM108" s="587"/>
      <c r="FN108" s="587"/>
      <c r="FO108" s="587"/>
      <c r="FP108" s="587"/>
      <c r="FQ108" s="587"/>
      <c r="FR108" s="587"/>
      <c r="FS108" s="587"/>
      <c r="FT108" s="587"/>
      <c r="FU108" s="587"/>
      <c r="FV108" s="587"/>
      <c r="FW108" s="587"/>
      <c r="FX108" s="587"/>
      <c r="FY108" s="587"/>
      <c r="FZ108" s="587"/>
      <c r="GA108" s="587"/>
      <c r="GB108" s="587"/>
      <c r="GC108" s="587"/>
      <c r="GD108" s="587"/>
      <c r="GE108" s="587"/>
      <c r="GF108" s="587"/>
      <c r="GG108" s="587"/>
      <c r="GH108" s="587"/>
      <c r="GI108" s="587"/>
      <c r="GJ108" s="587"/>
      <c r="GK108" s="587"/>
      <c r="GL108" s="587"/>
      <c r="GM108" s="587"/>
      <c r="GN108" s="587"/>
      <c r="GO108" s="587"/>
      <c r="GP108" s="587"/>
      <c r="GQ108" s="587"/>
      <c r="GR108" s="587"/>
      <c r="GS108" s="587"/>
      <c r="GT108" s="587"/>
      <c r="GU108" s="587"/>
      <c r="GV108" s="587"/>
      <c r="GW108" s="587"/>
      <c r="GX108" s="587"/>
      <c r="GY108" s="587"/>
      <c r="GZ108" s="587"/>
      <c r="HA108" s="587"/>
      <c r="HB108" s="587"/>
      <c r="HC108" s="587"/>
      <c r="HD108" s="587"/>
      <c r="HE108" s="587"/>
      <c r="HF108" s="587"/>
      <c r="HG108" s="587"/>
      <c r="HH108" s="587"/>
      <c r="HI108" s="587"/>
      <c r="HJ108" s="587"/>
      <c r="HK108" s="587"/>
      <c r="HL108" s="587"/>
      <c r="HM108" s="587"/>
      <c r="HN108" s="587"/>
      <c r="HO108" s="587"/>
    </row>
    <row r="109" spans="1:223" ht="20.100000000000001" customHeight="1">
      <c r="A109" s="470"/>
      <c r="B109" s="470"/>
      <c r="C109" s="470"/>
      <c r="D109" s="470"/>
      <c r="E109" s="477" t="s">
        <v>666</v>
      </c>
      <c r="F109" s="587"/>
      <c r="G109" s="520"/>
      <c r="I109" s="459"/>
      <c r="J109" s="456"/>
      <c r="K109" s="456"/>
      <c r="L109" s="456"/>
      <c r="M109" s="499">
        <v>4320</v>
      </c>
      <c r="N109" s="521">
        <f t="shared" si="0"/>
        <v>0</v>
      </c>
      <c r="O109" s="551">
        <v>4320</v>
      </c>
      <c r="P109" s="551"/>
      <c r="Q109" s="587" t="s">
        <v>710</v>
      </c>
      <c r="R109" s="587"/>
      <c r="S109" s="587"/>
      <c r="T109" s="587"/>
      <c r="U109" s="587"/>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c r="CD109" s="587"/>
      <c r="CE109" s="587"/>
      <c r="CF109" s="587"/>
      <c r="CG109" s="587"/>
      <c r="CH109" s="587"/>
      <c r="CI109" s="587"/>
      <c r="CJ109" s="587"/>
      <c r="CK109" s="587"/>
      <c r="CL109" s="587"/>
      <c r="CM109" s="587"/>
      <c r="CN109" s="587"/>
      <c r="CO109" s="587"/>
      <c r="CP109" s="587"/>
      <c r="CQ109" s="587"/>
      <c r="CR109" s="587"/>
      <c r="CS109" s="587"/>
      <c r="CT109" s="587"/>
      <c r="CU109" s="587"/>
      <c r="CV109" s="587"/>
      <c r="CW109" s="587"/>
      <c r="CX109" s="587"/>
      <c r="CY109" s="587"/>
      <c r="CZ109" s="587"/>
      <c r="DA109" s="587"/>
      <c r="DB109" s="587"/>
      <c r="DC109" s="587"/>
      <c r="DD109" s="587"/>
      <c r="DE109" s="587"/>
      <c r="DF109" s="587"/>
      <c r="DG109" s="587"/>
      <c r="DH109" s="587"/>
      <c r="DI109" s="587"/>
      <c r="DJ109" s="587"/>
      <c r="DK109" s="587"/>
      <c r="DL109" s="587"/>
      <c r="DM109" s="587"/>
      <c r="DN109" s="587"/>
      <c r="DO109" s="587"/>
      <c r="DP109" s="587"/>
      <c r="DQ109" s="587"/>
      <c r="DR109" s="587"/>
      <c r="DS109" s="587"/>
      <c r="DT109" s="587"/>
      <c r="DU109" s="587"/>
      <c r="DV109" s="587"/>
      <c r="DW109" s="587"/>
      <c r="DX109" s="587"/>
      <c r="DY109" s="587"/>
      <c r="DZ109" s="587"/>
      <c r="EA109" s="587"/>
      <c r="EB109" s="587"/>
      <c r="EC109" s="587"/>
      <c r="ED109" s="587"/>
      <c r="EE109" s="587"/>
      <c r="EF109" s="587"/>
      <c r="EG109" s="587"/>
      <c r="EH109" s="587"/>
      <c r="EI109" s="587"/>
      <c r="EJ109" s="587"/>
      <c r="EK109" s="587"/>
      <c r="EL109" s="587"/>
      <c r="EM109" s="587"/>
      <c r="EN109" s="587"/>
      <c r="EO109" s="587"/>
      <c r="EP109" s="587"/>
      <c r="EQ109" s="587"/>
      <c r="ER109" s="587"/>
      <c r="ES109" s="587"/>
      <c r="ET109" s="587"/>
      <c r="EU109" s="587"/>
      <c r="EV109" s="587"/>
      <c r="EW109" s="587"/>
      <c r="EX109" s="587"/>
      <c r="EY109" s="587"/>
      <c r="EZ109" s="587"/>
      <c r="FA109" s="587"/>
      <c r="FB109" s="587"/>
      <c r="FC109" s="587"/>
      <c r="FD109" s="587"/>
      <c r="FE109" s="587"/>
      <c r="FF109" s="587"/>
      <c r="FG109" s="587"/>
      <c r="FH109" s="587"/>
      <c r="FI109" s="587"/>
      <c r="FJ109" s="587"/>
      <c r="FK109" s="587"/>
      <c r="FL109" s="587"/>
      <c r="FM109" s="587"/>
      <c r="FN109" s="587"/>
      <c r="FO109" s="587"/>
      <c r="FP109" s="587"/>
      <c r="FQ109" s="587"/>
      <c r="FR109" s="587"/>
      <c r="FS109" s="587"/>
      <c r="FT109" s="587"/>
      <c r="FU109" s="587"/>
      <c r="FV109" s="587"/>
      <c r="FW109" s="587"/>
      <c r="FX109" s="587"/>
      <c r="FY109" s="587"/>
      <c r="FZ109" s="587"/>
      <c r="GA109" s="587"/>
      <c r="GB109" s="587"/>
      <c r="GC109" s="587"/>
      <c r="GD109" s="587"/>
      <c r="GE109" s="587"/>
      <c r="GF109" s="587"/>
      <c r="GG109" s="587"/>
      <c r="GH109" s="587"/>
      <c r="GI109" s="587"/>
      <c r="GJ109" s="587"/>
      <c r="GK109" s="587"/>
      <c r="GL109" s="587"/>
      <c r="GM109" s="587"/>
      <c r="GN109" s="587"/>
      <c r="GO109" s="587"/>
      <c r="GP109" s="587"/>
      <c r="GQ109" s="587"/>
      <c r="GR109" s="587"/>
      <c r="GS109" s="587"/>
      <c r="GT109" s="587"/>
      <c r="GU109" s="587"/>
      <c r="GV109" s="587"/>
      <c r="GW109" s="587"/>
      <c r="GX109" s="587"/>
      <c r="GY109" s="587"/>
      <c r="GZ109" s="587"/>
      <c r="HA109" s="587"/>
      <c r="HB109" s="587"/>
      <c r="HC109" s="587"/>
      <c r="HD109" s="587"/>
      <c r="HE109" s="587"/>
      <c r="HF109" s="587"/>
      <c r="HG109" s="587"/>
      <c r="HH109" s="587"/>
      <c r="HI109" s="587"/>
      <c r="HJ109" s="587"/>
      <c r="HK109" s="587"/>
      <c r="HL109" s="587"/>
      <c r="HM109" s="587"/>
      <c r="HN109" s="587"/>
      <c r="HO109" s="587"/>
    </row>
    <row r="110" spans="1:223" ht="20.100000000000001" customHeight="1">
      <c r="A110" s="470"/>
      <c r="B110" s="470"/>
      <c r="C110" s="470"/>
      <c r="D110" s="470"/>
      <c r="E110" s="477" t="s">
        <v>85</v>
      </c>
      <c r="F110" s="519"/>
      <c r="G110" s="520">
        <v>1000</v>
      </c>
      <c r="H110" s="443" t="s">
        <v>178</v>
      </c>
      <c r="M110" s="499">
        <f>3010-1810</f>
        <v>1200</v>
      </c>
      <c r="N110" s="521">
        <f t="shared" si="0"/>
        <v>1810.08</v>
      </c>
      <c r="O110" s="551">
        <v>3010.08</v>
      </c>
      <c r="P110" s="551"/>
      <c r="Q110" s="462" t="s">
        <v>698</v>
      </c>
    </row>
    <row r="111" spans="1:223" s="476" customFormat="1" ht="21" customHeight="1">
      <c r="A111" s="470"/>
      <c r="B111" s="470"/>
      <c r="C111" s="470"/>
      <c r="D111" s="470"/>
      <c r="E111" s="588" t="s">
        <v>567</v>
      </c>
      <c r="F111" s="471"/>
      <c r="G111" s="508">
        <v>14000</v>
      </c>
      <c r="H111" s="433">
        <v>12706</v>
      </c>
      <c r="I111" s="473"/>
      <c r="J111" s="475"/>
      <c r="K111" s="475"/>
      <c r="L111" s="475"/>
      <c r="M111" s="589">
        <v>12500</v>
      </c>
      <c r="N111" s="521">
        <f t="shared" ref="N111:N136" si="1">O111-M111</f>
        <v>0</v>
      </c>
      <c r="O111" s="590">
        <v>12500</v>
      </c>
      <c r="P111" s="590"/>
      <c r="Q111" s="462" t="s">
        <v>691</v>
      </c>
    </row>
    <row r="112" spans="1:223" s="476" customFormat="1" ht="21" hidden="1" customHeight="1">
      <c r="A112" s="470"/>
      <c r="B112" s="470"/>
      <c r="C112" s="470"/>
      <c r="D112" s="470"/>
      <c r="E112" s="591" t="s">
        <v>568</v>
      </c>
      <c r="F112" s="471"/>
      <c r="G112" s="508">
        <v>1100</v>
      </c>
      <c r="H112" s="433"/>
      <c r="I112" s="473"/>
      <c r="J112" s="475"/>
      <c r="K112" s="475"/>
      <c r="L112" s="475"/>
      <c r="M112" s="589">
        <v>0</v>
      </c>
      <c r="N112" s="521">
        <f t="shared" si="1"/>
        <v>0</v>
      </c>
      <c r="O112" s="590">
        <v>0</v>
      </c>
      <c r="P112" s="590"/>
    </row>
    <row r="113" spans="1:17" s="476" customFormat="1" ht="21" customHeight="1">
      <c r="A113" s="470"/>
      <c r="B113" s="470"/>
      <c r="C113" s="470"/>
      <c r="D113" s="470"/>
      <c r="E113" s="588" t="s">
        <v>569</v>
      </c>
      <c r="F113" s="471"/>
      <c r="G113" s="508">
        <v>300</v>
      </c>
      <c r="H113" s="433"/>
      <c r="I113" s="473"/>
      <c r="J113" s="475"/>
      <c r="K113" s="475"/>
      <c r="L113" s="475"/>
      <c r="M113" s="589">
        <v>100</v>
      </c>
      <c r="N113" s="521">
        <f t="shared" si="1"/>
        <v>0</v>
      </c>
      <c r="O113" s="590">
        <v>100</v>
      </c>
      <c r="P113" s="590"/>
      <c r="Q113" s="462" t="s">
        <v>699</v>
      </c>
    </row>
    <row r="114" spans="1:17" ht="18.75" hidden="1" customHeight="1">
      <c r="A114" s="470"/>
      <c r="B114" s="470"/>
      <c r="C114" s="470"/>
      <c r="D114" s="470"/>
      <c r="E114" s="477" t="s">
        <v>79</v>
      </c>
      <c r="F114" s="519"/>
      <c r="G114" s="580">
        <v>0</v>
      </c>
      <c r="M114" s="581">
        <v>0</v>
      </c>
      <c r="N114" s="521">
        <f t="shared" si="1"/>
        <v>0</v>
      </c>
      <c r="O114" s="583">
        <v>0</v>
      </c>
      <c r="P114" s="583"/>
    </row>
    <row r="115" spans="1:17" ht="18.75" customHeight="1">
      <c r="A115" s="470"/>
      <c r="B115" s="470"/>
      <c r="C115" s="470"/>
      <c r="D115" s="470"/>
      <c r="E115" s="477" t="s">
        <v>623</v>
      </c>
      <c r="F115" s="519"/>
      <c r="G115" s="580">
        <v>750</v>
      </c>
      <c r="H115" s="440">
        <v>750</v>
      </c>
      <c r="M115" s="581">
        <v>750</v>
      </c>
      <c r="N115" s="521">
        <f t="shared" si="1"/>
        <v>0</v>
      </c>
      <c r="O115" s="583">
        <v>750</v>
      </c>
      <c r="P115" s="583"/>
    </row>
    <row r="116" spans="1:17" ht="20.100000000000001" customHeight="1">
      <c r="A116" s="470"/>
      <c r="B116" s="470"/>
      <c r="C116" s="470"/>
      <c r="D116" s="470"/>
      <c r="E116" s="491" t="s">
        <v>184</v>
      </c>
      <c r="F116" s="471">
        <f>SUM(F96:F110)</f>
        <v>7150</v>
      </c>
      <c r="G116" s="592">
        <f>SUM(G96:G115)</f>
        <v>27800</v>
      </c>
      <c r="H116" s="593">
        <f>SUM(H96:H115)</f>
        <v>15833.16</v>
      </c>
      <c r="M116" s="589">
        <f>SUM(M96:M115)</f>
        <v>27570</v>
      </c>
      <c r="N116" s="594">
        <f>SUM(N96:N115)</f>
        <v>3110.08</v>
      </c>
      <c r="O116" s="590">
        <f>SUM(O96:O115)</f>
        <v>30680.080000000002</v>
      </c>
      <c r="P116" s="590"/>
    </row>
    <row r="117" spans="1:17" ht="20.100000000000001" customHeight="1">
      <c r="A117" s="470"/>
      <c r="B117" s="470"/>
      <c r="C117" s="470"/>
      <c r="D117" s="470"/>
      <c r="E117" s="549" t="s">
        <v>121</v>
      </c>
      <c r="F117" s="519"/>
      <c r="G117" s="520"/>
      <c r="M117" s="499"/>
      <c r="N117" s="521">
        <f t="shared" si="1"/>
        <v>0</v>
      </c>
      <c r="O117" s="551"/>
      <c r="P117" s="551"/>
    </row>
    <row r="118" spans="1:17" ht="20.100000000000001" customHeight="1">
      <c r="A118" s="470"/>
      <c r="B118" s="470"/>
      <c r="C118" s="470"/>
      <c r="D118" s="470"/>
      <c r="E118" s="477" t="s">
        <v>82</v>
      </c>
      <c r="F118" s="519"/>
      <c r="G118" s="520">
        <v>10000</v>
      </c>
      <c r="H118" s="433">
        <v>350</v>
      </c>
      <c r="M118" s="499">
        <v>10000</v>
      </c>
      <c r="N118" s="521">
        <f t="shared" si="1"/>
        <v>0</v>
      </c>
      <c r="O118" s="551">
        <v>10000</v>
      </c>
      <c r="P118" s="551"/>
    </row>
    <row r="119" spans="1:17" ht="20.100000000000001" customHeight="1">
      <c r="A119" s="470"/>
      <c r="B119" s="470"/>
      <c r="C119" s="470"/>
      <c r="D119" s="470"/>
      <c r="E119" s="477" t="s">
        <v>126</v>
      </c>
      <c r="F119" s="519">
        <v>1000</v>
      </c>
      <c r="G119" s="520">
        <v>1000</v>
      </c>
      <c r="M119" s="499">
        <v>800</v>
      </c>
      <c r="N119" s="521">
        <f t="shared" si="1"/>
        <v>0</v>
      </c>
      <c r="O119" s="551">
        <v>800</v>
      </c>
      <c r="P119" s="551"/>
    </row>
    <row r="120" spans="1:17" ht="20.100000000000001" customHeight="1">
      <c r="A120" s="470"/>
      <c r="B120" s="470"/>
      <c r="C120" s="470"/>
      <c r="D120" s="470"/>
      <c r="E120" s="477" t="s">
        <v>125</v>
      </c>
      <c r="F120" s="519">
        <v>2700</v>
      </c>
      <c r="G120" s="520">
        <v>2700</v>
      </c>
      <c r="H120" s="442">
        <v>15000</v>
      </c>
      <c r="M120" s="499">
        <v>2700</v>
      </c>
      <c r="N120" s="521">
        <f t="shared" si="1"/>
        <v>0</v>
      </c>
      <c r="O120" s="551">
        <v>2700</v>
      </c>
      <c r="P120" s="551"/>
    </row>
    <row r="121" spans="1:17" ht="20.100000000000001" customHeight="1">
      <c r="A121" s="470"/>
      <c r="B121" s="470"/>
      <c r="C121" s="470"/>
      <c r="D121" s="470"/>
      <c r="E121" s="477" t="s">
        <v>64</v>
      </c>
      <c r="F121" s="519">
        <v>1200</v>
      </c>
      <c r="G121" s="520">
        <v>1200</v>
      </c>
      <c r="M121" s="499">
        <v>1200</v>
      </c>
      <c r="N121" s="521">
        <f t="shared" si="1"/>
        <v>0</v>
      </c>
      <c r="O121" s="551">
        <v>1200</v>
      </c>
      <c r="P121" s="551"/>
    </row>
    <row r="122" spans="1:17" ht="20.100000000000001" customHeight="1">
      <c r="A122" s="470"/>
      <c r="B122" s="470"/>
      <c r="C122" s="470"/>
      <c r="D122" s="470"/>
      <c r="E122" s="477" t="s">
        <v>124</v>
      </c>
      <c r="F122" s="579">
        <v>500</v>
      </c>
      <c r="G122" s="520">
        <v>500</v>
      </c>
      <c r="H122" s="434">
        <v>234.69</v>
      </c>
      <c r="I122" s="493" t="s">
        <v>635</v>
      </c>
      <c r="M122" s="499">
        <v>500</v>
      </c>
      <c r="N122" s="521">
        <f t="shared" si="1"/>
        <v>0</v>
      </c>
      <c r="O122" s="551">
        <v>500</v>
      </c>
      <c r="P122" s="551"/>
    </row>
    <row r="123" spans="1:17" ht="20.100000000000001" customHeight="1">
      <c r="A123" s="470"/>
      <c r="B123" s="470"/>
      <c r="C123" s="470"/>
      <c r="D123" s="470"/>
      <c r="E123" s="477" t="s">
        <v>664</v>
      </c>
      <c r="F123" s="579"/>
      <c r="G123" s="580">
        <v>6000</v>
      </c>
      <c r="H123" s="441">
        <v>4668.25</v>
      </c>
      <c r="M123" s="581">
        <v>1000</v>
      </c>
      <c r="N123" s="582">
        <f t="shared" si="1"/>
        <v>0</v>
      </c>
      <c r="O123" s="583">
        <v>1000</v>
      </c>
      <c r="P123" s="583"/>
      <c r="Q123" s="595" t="s">
        <v>665</v>
      </c>
    </row>
    <row r="124" spans="1:17" s="476" customFormat="1" ht="20.100000000000001" customHeight="1">
      <c r="A124" s="470"/>
      <c r="B124" s="470"/>
      <c r="C124" s="470"/>
      <c r="D124" s="470"/>
      <c r="E124" s="491" t="s">
        <v>184</v>
      </c>
      <c r="F124" s="526">
        <v>10000</v>
      </c>
      <c r="G124" s="577">
        <f>SUM(G118:G123)</f>
        <v>21400</v>
      </c>
      <c r="H124" s="578">
        <f>SUM(H118:H123)</f>
        <v>20252.940000000002</v>
      </c>
      <c r="I124" s="473"/>
      <c r="J124" s="475"/>
      <c r="K124" s="475"/>
      <c r="L124" s="475"/>
      <c r="M124" s="499">
        <f>SUM(M118:M123)</f>
        <v>16200</v>
      </c>
      <c r="N124" s="521">
        <f>SUM(N118:N123)</f>
        <v>0</v>
      </c>
      <c r="O124" s="551">
        <f>SUM(O118:O123)</f>
        <v>16200</v>
      </c>
      <c r="P124" s="551"/>
    </row>
    <row r="125" spans="1:17" ht="20.100000000000001" customHeight="1">
      <c r="A125" s="470"/>
      <c r="B125" s="470"/>
      <c r="C125" s="470"/>
      <c r="D125" s="470"/>
      <c r="E125" s="549" t="s">
        <v>122</v>
      </c>
      <c r="F125" s="519"/>
      <c r="G125" s="520" t="s">
        <v>178</v>
      </c>
      <c r="M125" s="499"/>
      <c r="N125" s="521">
        <f t="shared" si="1"/>
        <v>0</v>
      </c>
      <c r="O125" s="551"/>
      <c r="P125" s="551"/>
    </row>
    <row r="126" spans="1:17" ht="20.100000000000001" customHeight="1">
      <c r="A126" s="470"/>
      <c r="B126" s="470"/>
      <c r="C126" s="470"/>
      <c r="D126" s="470"/>
      <c r="E126" s="477" t="s">
        <v>701</v>
      </c>
      <c r="F126" s="519">
        <v>4000</v>
      </c>
      <c r="G126" s="520">
        <v>4000</v>
      </c>
      <c r="H126" s="443">
        <v>5000</v>
      </c>
      <c r="M126" s="499">
        <v>5000</v>
      </c>
      <c r="N126" s="521">
        <f t="shared" si="1"/>
        <v>10000</v>
      </c>
      <c r="O126" s="551">
        <v>15000</v>
      </c>
      <c r="P126" s="551"/>
    </row>
    <row r="127" spans="1:17" ht="20.100000000000001" customHeight="1">
      <c r="A127" s="470"/>
      <c r="B127" s="470"/>
      <c r="C127" s="470"/>
      <c r="D127" s="470"/>
      <c r="E127" s="477" t="s">
        <v>129</v>
      </c>
      <c r="F127" s="519">
        <v>7500</v>
      </c>
      <c r="G127" s="520">
        <v>4000</v>
      </c>
      <c r="H127" s="434">
        <v>3205</v>
      </c>
      <c r="M127" s="499">
        <v>4000</v>
      </c>
      <c r="N127" s="521">
        <f t="shared" si="1"/>
        <v>0</v>
      </c>
      <c r="O127" s="551">
        <v>4000</v>
      </c>
      <c r="P127" s="551"/>
    </row>
    <row r="128" spans="1:17" ht="20.100000000000001" customHeight="1">
      <c r="A128" s="470"/>
      <c r="B128" s="470"/>
      <c r="C128" s="470"/>
      <c r="D128" s="470"/>
      <c r="E128" s="477" t="s">
        <v>123</v>
      </c>
      <c r="F128" s="519">
        <v>500</v>
      </c>
      <c r="G128" s="580">
        <v>500</v>
      </c>
      <c r="M128" s="581">
        <v>500</v>
      </c>
      <c r="N128" s="582">
        <f t="shared" si="1"/>
        <v>0</v>
      </c>
      <c r="O128" s="583">
        <v>500</v>
      </c>
      <c r="P128" s="583"/>
    </row>
    <row r="129" spans="1:17" s="476" customFormat="1" ht="20.100000000000001" customHeight="1">
      <c r="A129" s="470"/>
      <c r="B129" s="470"/>
      <c r="C129" s="470"/>
      <c r="D129" s="470"/>
      <c r="E129" s="491" t="s">
        <v>184</v>
      </c>
      <c r="F129" s="526">
        <f>SUM(F126:F128)</f>
        <v>12000</v>
      </c>
      <c r="G129" s="520">
        <f>SUM(G126:G128)</f>
        <v>8500</v>
      </c>
      <c r="H129" s="596">
        <f>SUM(H126:H128)</f>
        <v>8205</v>
      </c>
      <c r="I129" s="473"/>
      <c r="J129" s="475"/>
      <c r="K129" s="475"/>
      <c r="L129" s="475"/>
      <c r="M129" s="499">
        <f>SUM(M126:M128)</f>
        <v>9500</v>
      </c>
      <c r="N129" s="521">
        <f>SUM(N126:N128)</f>
        <v>10000</v>
      </c>
      <c r="O129" s="551">
        <f>SUM(O126:O128)</f>
        <v>19500</v>
      </c>
      <c r="P129" s="551"/>
    </row>
    <row r="130" spans="1:17" ht="28.5" customHeight="1">
      <c r="A130" s="470" t="s">
        <v>178</v>
      </c>
      <c r="B130" s="470"/>
      <c r="C130" s="470"/>
      <c r="D130" s="470"/>
      <c r="E130" s="477" t="s">
        <v>278</v>
      </c>
      <c r="F130" s="579">
        <v>5000</v>
      </c>
      <c r="G130" s="580">
        <v>5000</v>
      </c>
      <c r="H130" s="434"/>
      <c r="M130" s="581">
        <v>5000</v>
      </c>
      <c r="N130" s="521">
        <f t="shared" si="1"/>
        <v>0</v>
      </c>
      <c r="O130" s="583">
        <v>5000</v>
      </c>
      <c r="P130" s="583"/>
    </row>
    <row r="131" spans="1:17" ht="20.100000000000001" customHeight="1">
      <c r="A131" s="470"/>
      <c r="B131" s="470"/>
      <c r="C131" s="470"/>
      <c r="D131" s="470"/>
      <c r="E131" s="491" t="s">
        <v>154</v>
      </c>
      <c r="F131" s="579"/>
      <c r="G131" s="577">
        <f>G130+G129+G124+G116+G94+G89+G81+G74</f>
        <v>666228</v>
      </c>
      <c r="H131" s="578">
        <f>H130+H129+H124+H116+H94+H89+H81+H74</f>
        <v>547698.49</v>
      </c>
      <c r="I131" s="578">
        <f>I130+I129+I124+I116+I94+I89+I81+I74</f>
        <v>0</v>
      </c>
      <c r="J131" s="578" t="s">
        <v>178</v>
      </c>
      <c r="K131" s="578"/>
      <c r="L131" s="578"/>
      <c r="M131" s="499">
        <f>M130+M129+M124+M116+M94+M89+M81+M74</f>
        <v>671111</v>
      </c>
      <c r="N131" s="521">
        <f>N130+N129+N124+N116+N94+N89+N81+N74</f>
        <v>71310.080000000002</v>
      </c>
      <c r="O131" s="551">
        <f>O130+O129+O124+O116+O94+O89+O81+O74</f>
        <v>772421.08000000007</v>
      </c>
      <c r="P131" s="551"/>
    </row>
    <row r="132" spans="1:17" ht="8.25" customHeight="1">
      <c r="A132" s="470"/>
      <c r="B132" s="470"/>
      <c r="C132" s="470"/>
      <c r="D132" s="470"/>
      <c r="F132" s="526"/>
      <c r="G132" s="520"/>
      <c r="H132" s="434"/>
      <c r="M132" s="499"/>
      <c r="N132" s="521" t="s">
        <v>178</v>
      </c>
      <c r="O132" s="551"/>
      <c r="P132" s="551"/>
    </row>
    <row r="133" spans="1:17" s="476" customFormat="1" ht="16.5" hidden="1" customHeight="1">
      <c r="A133" s="470"/>
      <c r="B133" s="470"/>
      <c r="C133" s="470"/>
      <c r="D133" s="470"/>
      <c r="E133" s="477" t="s">
        <v>9</v>
      </c>
      <c r="F133" s="526"/>
      <c r="G133" s="520">
        <f>G8</f>
        <v>40776</v>
      </c>
      <c r="H133" s="434"/>
      <c r="I133" s="473"/>
      <c r="J133" s="475"/>
      <c r="K133" s="475"/>
      <c r="L133" s="475"/>
      <c r="M133" s="499"/>
      <c r="N133" s="521">
        <f t="shared" si="1"/>
        <v>0</v>
      </c>
      <c r="O133" s="551"/>
      <c r="P133" s="551"/>
    </row>
    <row r="134" spans="1:17" ht="20.100000000000001" hidden="1" customHeight="1">
      <c r="A134" s="470"/>
      <c r="B134" s="470"/>
      <c r="C134" s="470"/>
      <c r="D134" s="470"/>
      <c r="E134" s="477" t="s">
        <v>128</v>
      </c>
      <c r="F134" s="597"/>
      <c r="G134" s="580">
        <v>0</v>
      </c>
      <c r="M134" s="499"/>
      <c r="N134" s="521">
        <f t="shared" si="1"/>
        <v>0</v>
      </c>
      <c r="O134" s="551"/>
      <c r="P134" s="551"/>
    </row>
    <row r="135" spans="1:17" s="476" customFormat="1" ht="26.25" hidden="1" customHeight="1">
      <c r="A135" s="598"/>
      <c r="B135" s="598"/>
      <c r="C135" s="598"/>
      <c r="D135" s="598"/>
      <c r="E135" s="491" t="s">
        <v>127</v>
      </c>
      <c r="F135" s="599" t="e">
        <f>F74+F81+F89+F94+F116+F124+#REF!+F129+#REF!+#REF!+F130</f>
        <v>#REF!</v>
      </c>
      <c r="G135" s="577">
        <f>SUM(G131:G134)</f>
        <v>707004</v>
      </c>
      <c r="H135" s="578">
        <f>SUM(H131:H134)</f>
        <v>547698.49</v>
      </c>
      <c r="I135" s="473" t="s">
        <v>634</v>
      </c>
      <c r="J135" s="475" t="s">
        <v>178</v>
      </c>
      <c r="K135" s="475"/>
      <c r="L135" s="475"/>
      <c r="M135" s="499"/>
      <c r="N135" s="521">
        <f t="shared" si="1"/>
        <v>0</v>
      </c>
      <c r="O135" s="551"/>
      <c r="P135" s="551"/>
    </row>
    <row r="136" spans="1:17" s="476" customFormat="1" ht="1.5" customHeight="1">
      <c r="A136" s="598"/>
      <c r="B136" s="598"/>
      <c r="C136" s="598"/>
      <c r="D136" s="598"/>
      <c r="E136" s="491"/>
      <c r="F136" s="471"/>
      <c r="G136" s="592"/>
      <c r="H136" s="433"/>
      <c r="I136" s="473"/>
      <c r="J136" s="475"/>
      <c r="K136" s="475"/>
      <c r="L136" s="475"/>
      <c r="M136" s="499"/>
      <c r="N136" s="521">
        <f t="shared" si="1"/>
        <v>0</v>
      </c>
      <c r="O136" s="551"/>
      <c r="P136" s="551"/>
    </row>
    <row r="137" spans="1:17" s="476" customFormat="1" ht="31.5" customHeight="1">
      <c r="A137" s="598"/>
      <c r="B137" s="598"/>
      <c r="C137" s="598"/>
      <c r="D137" s="598"/>
      <c r="E137" s="491" t="s">
        <v>573</v>
      </c>
      <c r="F137" s="471"/>
      <c r="G137" s="600">
        <f>G30-G135</f>
        <v>87027.870000000112</v>
      </c>
      <c r="H137" s="600">
        <f>H30-H135</f>
        <v>-547698.49</v>
      </c>
      <c r="I137" s="600" t="e">
        <f>I30-I135</f>
        <v>#VALUE!</v>
      </c>
      <c r="J137" s="600" t="s">
        <v>178</v>
      </c>
      <c r="K137" s="600"/>
      <c r="L137" s="600"/>
      <c r="M137" s="590">
        <f>M30-O131</f>
        <v>2890.3099999999395</v>
      </c>
      <c r="N137" s="594" t="s">
        <v>178</v>
      </c>
      <c r="O137" s="590">
        <f>O30-O131</f>
        <v>55356.439999999944</v>
      </c>
      <c r="P137" s="590"/>
      <c r="Q137" s="601"/>
    </row>
    <row r="138" spans="1:17" s="607" customFormat="1" ht="13.5" customHeight="1">
      <c r="A138" s="602"/>
      <c r="B138" s="602"/>
      <c r="C138" s="602"/>
      <c r="D138" s="602"/>
      <c r="E138" s="603"/>
      <c r="F138" s="604"/>
      <c r="G138" s="605"/>
      <c r="H138" s="453"/>
      <c r="I138" s="606"/>
      <c r="J138" s="521"/>
      <c r="K138" s="521"/>
      <c r="L138" s="521"/>
      <c r="M138" s="521"/>
      <c r="N138" s="521"/>
      <c r="O138" s="521"/>
      <c r="P138" s="521"/>
    </row>
    <row r="139" spans="1:17" s="607" customFormat="1" ht="18" hidden="1" customHeight="1">
      <c r="A139" s="776" t="s">
        <v>619</v>
      </c>
      <c r="B139" s="776"/>
      <c r="C139" s="776"/>
      <c r="D139" s="776"/>
      <c r="E139" s="776"/>
      <c r="F139" s="776"/>
      <c r="G139" s="776"/>
      <c r="H139" s="776"/>
      <c r="I139" s="776"/>
      <c r="J139" s="776"/>
      <c r="K139" s="776"/>
      <c r="L139" s="776"/>
      <c r="M139" s="776"/>
      <c r="N139" s="776"/>
      <c r="O139" s="776"/>
      <c r="P139" s="776"/>
      <c r="Q139" s="776"/>
    </row>
    <row r="140" spans="1:17" s="607" customFormat="1" ht="13.5" hidden="1" customHeight="1">
      <c r="A140" s="776"/>
      <c r="B140" s="776"/>
      <c r="C140" s="776"/>
      <c r="D140" s="776"/>
      <c r="E140" s="776"/>
      <c r="F140" s="776"/>
      <c r="G140" s="776"/>
      <c r="H140" s="776"/>
      <c r="I140" s="776"/>
      <c r="J140" s="776"/>
      <c r="K140" s="776"/>
      <c r="L140" s="776"/>
      <c r="M140" s="776"/>
      <c r="N140" s="776"/>
      <c r="O140" s="776"/>
      <c r="P140" s="776"/>
      <c r="Q140" s="776"/>
    </row>
    <row r="141" spans="1:17" s="609" customFormat="1" ht="46.5" customHeight="1">
      <c r="A141" s="608"/>
      <c r="B141" s="608"/>
      <c r="C141" s="608"/>
      <c r="D141" s="608"/>
      <c r="E141" s="770" t="s">
        <v>4</v>
      </c>
      <c r="F141" s="770"/>
      <c r="G141" s="770"/>
      <c r="H141" s="770"/>
      <c r="I141" s="770"/>
      <c r="J141" s="770"/>
      <c r="K141" s="770"/>
      <c r="L141" s="770"/>
      <c r="M141" s="770"/>
      <c r="N141" s="770"/>
      <c r="O141" s="770"/>
      <c r="P141" s="770"/>
      <c r="Q141" s="770"/>
    </row>
    <row r="142" spans="1:17" s="609" customFormat="1" ht="78" customHeight="1">
      <c r="A142" s="608"/>
      <c r="B142" s="608"/>
      <c r="C142" s="608"/>
      <c r="D142" s="608"/>
      <c r="E142" s="770" t="s">
        <v>703</v>
      </c>
      <c r="F142" s="770"/>
      <c r="G142" s="770"/>
      <c r="H142" s="770"/>
      <c r="I142" s="770"/>
      <c r="J142" s="770"/>
      <c r="K142" s="770"/>
      <c r="L142" s="770"/>
      <c r="M142" s="770"/>
      <c r="N142" s="770"/>
      <c r="O142" s="770"/>
      <c r="P142" s="770"/>
      <c r="Q142" s="770"/>
    </row>
    <row r="143" spans="1:17" s="607" customFormat="1" ht="2.25" customHeight="1">
      <c r="A143" s="610"/>
      <c r="B143" s="610"/>
      <c r="C143" s="610"/>
      <c r="D143" s="610"/>
      <c r="E143" s="770" t="s">
        <v>5</v>
      </c>
      <c r="F143" s="770"/>
      <c r="G143" s="770"/>
      <c r="H143" s="770"/>
      <c r="I143" s="770"/>
      <c r="J143" s="770"/>
      <c r="K143" s="770"/>
      <c r="L143" s="770"/>
      <c r="M143" s="770"/>
      <c r="N143" s="770"/>
      <c r="O143" s="770"/>
      <c r="P143" s="770"/>
      <c r="Q143" s="770"/>
    </row>
    <row r="144" spans="1:17" s="607" customFormat="1" ht="120.75" customHeight="1">
      <c r="A144" s="610"/>
      <c r="B144" s="610"/>
      <c r="C144" s="610"/>
      <c r="D144" s="610"/>
      <c r="E144" s="770" t="s">
        <v>704</v>
      </c>
      <c r="F144" s="770"/>
      <c r="G144" s="770"/>
      <c r="H144" s="770"/>
      <c r="I144" s="770"/>
      <c r="J144" s="770"/>
      <c r="K144" s="770"/>
      <c r="L144" s="770"/>
      <c r="M144" s="770"/>
      <c r="N144" s="770"/>
      <c r="O144" s="770"/>
      <c r="P144" s="770"/>
      <c r="Q144" s="770"/>
    </row>
    <row r="145" spans="1:16" s="607" customFormat="1">
      <c r="A145" s="602"/>
      <c r="B145" s="602"/>
      <c r="C145" s="602"/>
      <c r="D145" s="602"/>
      <c r="F145" s="611"/>
      <c r="G145" s="612"/>
      <c r="H145" s="454"/>
      <c r="I145" s="606"/>
      <c r="J145" s="521"/>
      <c r="K145" s="521"/>
      <c r="L145" s="521"/>
      <c r="M145" s="521"/>
      <c r="N145" s="521"/>
      <c r="O145" s="521"/>
      <c r="P145" s="521"/>
    </row>
    <row r="146" spans="1:16" s="607" customFormat="1">
      <c r="A146" s="602"/>
      <c r="B146" s="602"/>
      <c r="C146" s="602"/>
      <c r="D146" s="602"/>
      <c r="F146" s="611"/>
      <c r="G146" s="612"/>
      <c r="H146" s="454"/>
      <c r="I146" s="606"/>
      <c r="J146" s="521"/>
      <c r="K146" s="521"/>
      <c r="L146" s="521"/>
      <c r="M146" s="521"/>
      <c r="N146" s="521"/>
      <c r="O146" s="521"/>
      <c r="P146" s="521"/>
    </row>
    <row r="147" spans="1:16" s="607" customFormat="1">
      <c r="A147" s="602"/>
      <c r="B147" s="602"/>
      <c r="C147" s="602"/>
      <c r="D147" s="602"/>
      <c r="E147" s="613"/>
      <c r="F147" s="611"/>
      <c r="G147" s="612"/>
      <c r="H147" s="453"/>
      <c r="I147" s="606"/>
      <c r="J147" s="521"/>
      <c r="K147" s="521"/>
      <c r="L147" s="521"/>
      <c r="M147" s="521"/>
      <c r="N147" s="521"/>
      <c r="O147" s="521"/>
      <c r="P147" s="521"/>
    </row>
    <row r="148" spans="1:16" s="607" customFormat="1">
      <c r="A148" s="602"/>
      <c r="B148" s="602"/>
      <c r="C148" s="602"/>
      <c r="D148" s="602"/>
      <c r="E148" s="613"/>
      <c r="F148" s="611"/>
      <c r="G148" s="612"/>
      <c r="H148" s="453"/>
      <c r="I148" s="606"/>
      <c r="J148" s="521"/>
      <c r="K148" s="521"/>
      <c r="L148" s="521"/>
      <c r="M148" s="521"/>
      <c r="N148" s="521"/>
      <c r="O148" s="521"/>
      <c r="P148" s="521"/>
    </row>
    <row r="149" spans="1:16" s="607" customFormat="1">
      <c r="A149" s="602"/>
      <c r="B149" s="602"/>
      <c r="C149" s="602"/>
      <c r="D149" s="602"/>
      <c r="E149" s="613"/>
      <c r="F149" s="614"/>
      <c r="G149" s="612"/>
      <c r="H149" s="453"/>
      <c r="I149" s="606"/>
      <c r="J149" s="521"/>
      <c r="K149" s="521"/>
      <c r="L149" s="521"/>
      <c r="M149" s="521"/>
      <c r="N149" s="521"/>
      <c r="O149" s="521"/>
      <c r="P149" s="521"/>
    </row>
    <row r="150" spans="1:16" s="607" customFormat="1">
      <c r="A150" s="602"/>
      <c r="B150" s="602"/>
      <c r="C150" s="602"/>
      <c r="D150" s="602"/>
      <c r="E150" s="613"/>
      <c r="F150" s="611"/>
      <c r="G150" s="612"/>
      <c r="H150" s="453"/>
      <c r="I150" s="606"/>
      <c r="J150" s="521"/>
      <c r="K150" s="521"/>
      <c r="L150" s="521"/>
      <c r="M150" s="521"/>
      <c r="N150" s="521"/>
      <c r="O150" s="521"/>
      <c r="P150" s="521"/>
    </row>
    <row r="151" spans="1:16" s="607" customFormat="1">
      <c r="A151" s="602"/>
      <c r="B151" s="602"/>
      <c r="C151" s="602"/>
      <c r="D151" s="602"/>
      <c r="E151" s="615"/>
      <c r="F151" s="611"/>
      <c r="G151" s="612"/>
      <c r="H151" s="453"/>
      <c r="I151" s="606"/>
      <c r="J151" s="521"/>
      <c r="K151" s="521"/>
      <c r="L151" s="521"/>
      <c r="M151" s="521"/>
      <c r="N151" s="521"/>
      <c r="O151" s="521"/>
      <c r="P151" s="521"/>
    </row>
    <row r="152" spans="1:16" s="607" customFormat="1">
      <c r="A152" s="602"/>
      <c r="B152" s="602"/>
      <c r="C152" s="602"/>
      <c r="D152" s="602"/>
      <c r="E152" s="613"/>
      <c r="F152" s="611"/>
      <c r="G152" s="612"/>
      <c r="H152" s="453"/>
      <c r="I152" s="606"/>
      <c r="J152" s="521"/>
      <c r="K152" s="521"/>
      <c r="L152" s="521"/>
      <c r="M152" s="521"/>
      <c r="N152" s="521"/>
      <c r="O152" s="521"/>
      <c r="P152" s="521"/>
    </row>
    <row r="153" spans="1:16" s="607" customFormat="1">
      <c r="A153" s="610"/>
      <c r="B153" s="610"/>
      <c r="C153" s="610"/>
      <c r="D153" s="610"/>
      <c r="E153" s="613"/>
      <c r="F153" s="611"/>
      <c r="G153" s="612"/>
      <c r="H153" s="453"/>
      <c r="I153" s="606"/>
      <c r="J153" s="521"/>
      <c r="K153" s="521"/>
      <c r="L153" s="521"/>
      <c r="M153" s="521"/>
      <c r="N153" s="521"/>
      <c r="O153" s="521"/>
      <c r="P153" s="521"/>
    </row>
    <row r="154" spans="1:16" s="607" customFormat="1">
      <c r="A154" s="610"/>
      <c r="B154" s="610"/>
      <c r="C154" s="610"/>
      <c r="D154" s="610"/>
      <c r="E154" s="613"/>
      <c r="G154" s="612"/>
      <c r="H154" s="453"/>
      <c r="I154" s="606"/>
      <c r="J154" s="521"/>
      <c r="K154" s="521"/>
      <c r="L154" s="521"/>
      <c r="M154" s="521"/>
      <c r="N154" s="521"/>
      <c r="O154" s="521"/>
      <c r="P154" s="521"/>
    </row>
    <row r="155" spans="1:16" s="607" customFormat="1">
      <c r="A155" s="610"/>
      <c r="B155" s="610"/>
      <c r="C155" s="610"/>
      <c r="D155" s="610"/>
      <c r="E155" s="613"/>
      <c r="F155" s="616"/>
      <c r="G155" s="612"/>
      <c r="H155" s="453"/>
      <c r="I155" s="606"/>
      <c r="J155" s="521"/>
      <c r="K155" s="521"/>
      <c r="L155" s="521"/>
      <c r="M155" s="521"/>
      <c r="N155" s="521"/>
      <c r="O155" s="521"/>
      <c r="P155" s="521"/>
    </row>
    <row r="156" spans="1:16" s="607" customFormat="1">
      <c r="A156" s="610"/>
      <c r="B156" s="610"/>
      <c r="C156" s="610"/>
      <c r="D156" s="610"/>
      <c r="E156" s="613"/>
      <c r="F156" s="611"/>
      <c r="G156" s="612"/>
      <c r="H156" s="453"/>
      <c r="I156" s="606"/>
      <c r="J156" s="521"/>
      <c r="K156" s="521"/>
      <c r="L156" s="521"/>
      <c r="M156" s="521"/>
      <c r="N156" s="521"/>
      <c r="O156" s="521"/>
      <c r="P156" s="521"/>
    </row>
    <row r="157" spans="1:16" s="607" customFormat="1">
      <c r="A157" s="610"/>
      <c r="B157" s="610"/>
      <c r="C157" s="610"/>
      <c r="D157" s="610"/>
      <c r="E157" s="613"/>
      <c r="F157" s="616"/>
      <c r="G157" s="612"/>
      <c r="H157" s="453"/>
      <c r="I157" s="606"/>
      <c r="J157" s="521"/>
      <c r="K157" s="521"/>
      <c r="L157" s="521"/>
      <c r="M157" s="521"/>
      <c r="N157" s="521"/>
      <c r="O157" s="521"/>
      <c r="P157" s="521"/>
    </row>
    <row r="158" spans="1:16" s="607" customFormat="1">
      <c r="A158" s="610"/>
      <c r="B158" s="610"/>
      <c r="C158" s="610"/>
      <c r="D158" s="610"/>
      <c r="E158" s="613"/>
      <c r="F158" s="611"/>
      <c r="G158" s="612"/>
      <c r="H158" s="453"/>
      <c r="I158" s="606"/>
      <c r="J158" s="521"/>
      <c r="K158" s="521"/>
      <c r="L158" s="521"/>
      <c r="M158" s="521"/>
      <c r="N158" s="521"/>
      <c r="O158" s="521"/>
      <c r="P158" s="521"/>
    </row>
    <row r="159" spans="1:16" s="607" customFormat="1">
      <c r="A159" s="610"/>
      <c r="B159" s="610"/>
      <c r="C159" s="610"/>
      <c r="D159" s="610"/>
      <c r="E159" s="613"/>
      <c r="G159" s="612"/>
      <c r="H159" s="453"/>
      <c r="I159" s="606"/>
      <c r="J159" s="521"/>
      <c r="K159" s="521"/>
      <c r="L159" s="521"/>
      <c r="M159" s="521"/>
      <c r="N159" s="521"/>
      <c r="O159" s="521"/>
      <c r="P159" s="521"/>
    </row>
    <row r="160" spans="1:16" s="607" customFormat="1">
      <c r="A160" s="610"/>
      <c r="B160" s="610"/>
      <c r="C160" s="610"/>
      <c r="D160" s="610"/>
      <c r="E160" s="613"/>
      <c r="F160" s="617"/>
      <c r="G160" s="612"/>
      <c r="H160" s="453"/>
      <c r="I160" s="606"/>
      <c r="J160" s="521"/>
      <c r="K160" s="521"/>
      <c r="L160" s="521"/>
      <c r="M160" s="521"/>
      <c r="N160" s="521"/>
      <c r="O160" s="521"/>
      <c r="P160" s="521"/>
    </row>
    <row r="161" spans="1:16" s="607" customFormat="1">
      <c r="A161" s="610"/>
      <c r="B161" s="610"/>
      <c r="C161" s="610"/>
      <c r="D161" s="610"/>
      <c r="E161" s="613"/>
      <c r="F161" s="611"/>
      <c r="G161" s="612"/>
      <c r="H161" s="453"/>
      <c r="I161" s="606"/>
      <c r="J161" s="521"/>
      <c r="K161" s="521"/>
      <c r="L161" s="521"/>
      <c r="M161" s="521"/>
      <c r="N161" s="521"/>
      <c r="O161" s="521"/>
      <c r="P161" s="521"/>
    </row>
    <row r="162" spans="1:16" s="607" customFormat="1">
      <c r="A162" s="610"/>
      <c r="B162" s="610"/>
      <c r="C162" s="610"/>
      <c r="D162" s="610"/>
      <c r="E162" s="613"/>
      <c r="F162" s="611"/>
      <c r="G162" s="612"/>
      <c r="H162" s="453"/>
      <c r="I162" s="606"/>
      <c r="J162" s="521"/>
      <c r="K162" s="521"/>
      <c r="L162" s="521"/>
      <c r="M162" s="521"/>
      <c r="N162" s="521"/>
      <c r="O162" s="521"/>
      <c r="P162" s="521"/>
    </row>
    <row r="163" spans="1:16" s="607" customFormat="1">
      <c r="A163" s="610"/>
      <c r="B163" s="610"/>
      <c r="C163" s="610"/>
      <c r="D163" s="610"/>
      <c r="E163" s="613"/>
      <c r="G163" s="612"/>
      <c r="H163" s="453"/>
      <c r="I163" s="606"/>
      <c r="J163" s="521"/>
      <c r="K163" s="521"/>
      <c r="L163" s="521"/>
      <c r="M163" s="521"/>
      <c r="N163" s="521"/>
      <c r="O163" s="521"/>
      <c r="P163" s="521"/>
    </row>
    <row r="164" spans="1:16" s="607" customFormat="1">
      <c r="A164" s="610"/>
      <c r="B164" s="610"/>
      <c r="C164" s="610"/>
      <c r="D164" s="610"/>
      <c r="E164" s="613"/>
      <c r="G164" s="612"/>
      <c r="H164" s="453"/>
      <c r="I164" s="606"/>
      <c r="J164" s="521"/>
      <c r="K164" s="521"/>
      <c r="L164" s="521"/>
      <c r="M164" s="521"/>
      <c r="N164" s="521"/>
      <c r="O164" s="521"/>
      <c r="P164" s="521"/>
    </row>
    <row r="165" spans="1:16" s="607" customFormat="1">
      <c r="A165" s="610"/>
      <c r="B165" s="610"/>
      <c r="C165" s="610"/>
      <c r="D165" s="610"/>
      <c r="E165" s="613"/>
      <c r="G165" s="612"/>
      <c r="H165" s="453"/>
      <c r="I165" s="606"/>
      <c r="J165" s="521"/>
      <c r="K165" s="521"/>
      <c r="L165" s="521"/>
      <c r="M165" s="521"/>
      <c r="N165" s="521"/>
      <c r="O165" s="521"/>
      <c r="P165" s="521"/>
    </row>
    <row r="166" spans="1:16" s="607" customFormat="1">
      <c r="A166" s="610"/>
      <c r="B166" s="610"/>
      <c r="C166" s="610"/>
      <c r="D166" s="610"/>
      <c r="E166" s="613"/>
      <c r="G166" s="612"/>
      <c r="H166" s="453"/>
      <c r="I166" s="606"/>
      <c r="J166" s="521"/>
      <c r="K166" s="521"/>
      <c r="L166" s="521"/>
      <c r="M166" s="521"/>
      <c r="N166" s="521"/>
      <c r="O166" s="521"/>
      <c r="P166" s="521"/>
    </row>
    <row r="167" spans="1:16" s="607" customFormat="1">
      <c r="A167" s="610"/>
      <c r="B167" s="610"/>
      <c r="C167" s="610"/>
      <c r="D167" s="610"/>
      <c r="E167" s="613"/>
      <c r="G167" s="612"/>
      <c r="H167" s="453"/>
      <c r="I167" s="606"/>
      <c r="J167" s="521"/>
      <c r="K167" s="521"/>
      <c r="L167" s="521"/>
      <c r="M167" s="521"/>
      <c r="N167" s="521"/>
      <c r="O167" s="521"/>
      <c r="P167" s="521"/>
    </row>
    <row r="168" spans="1:16" s="607" customFormat="1">
      <c r="A168" s="610"/>
      <c r="B168" s="610"/>
      <c r="C168" s="610"/>
      <c r="D168" s="610"/>
      <c r="E168" s="613"/>
      <c r="G168" s="612"/>
      <c r="H168" s="453"/>
      <c r="I168" s="606"/>
      <c r="J168" s="521"/>
      <c r="K168" s="521"/>
      <c r="L168" s="521"/>
      <c r="M168" s="521"/>
      <c r="N168" s="521"/>
      <c r="O168" s="521"/>
      <c r="P168" s="521"/>
    </row>
    <row r="169" spans="1:16" s="607" customFormat="1">
      <c r="A169" s="610"/>
      <c r="B169" s="610"/>
      <c r="C169" s="610"/>
      <c r="D169" s="610"/>
      <c r="E169" s="613"/>
      <c r="G169" s="612"/>
      <c r="H169" s="453"/>
      <c r="I169" s="606"/>
      <c r="J169" s="521"/>
      <c r="K169" s="521"/>
      <c r="L169" s="521"/>
      <c r="M169" s="521"/>
      <c r="N169" s="521"/>
      <c r="O169" s="521"/>
      <c r="P169" s="521"/>
    </row>
    <row r="170" spans="1:16" s="607" customFormat="1">
      <c r="A170" s="610"/>
      <c r="B170" s="610"/>
      <c r="C170" s="610"/>
      <c r="D170" s="610"/>
      <c r="E170" s="613"/>
      <c r="G170" s="612"/>
      <c r="H170" s="453"/>
      <c r="I170" s="606"/>
      <c r="J170" s="521"/>
      <c r="K170" s="521"/>
      <c r="L170" s="521"/>
      <c r="M170" s="521"/>
      <c r="N170" s="521"/>
      <c r="O170" s="521"/>
      <c r="P170" s="521"/>
    </row>
    <row r="171" spans="1:16" s="607" customFormat="1">
      <c r="A171" s="610"/>
      <c r="B171" s="610"/>
      <c r="C171" s="610"/>
      <c r="D171" s="610"/>
      <c r="E171" s="613"/>
      <c r="G171" s="612"/>
      <c r="H171" s="453"/>
      <c r="I171" s="606"/>
      <c r="J171" s="521"/>
      <c r="K171" s="521"/>
      <c r="L171" s="521"/>
      <c r="M171" s="521"/>
      <c r="N171" s="521"/>
      <c r="O171" s="521"/>
      <c r="P171" s="521"/>
    </row>
    <row r="172" spans="1:16" s="607" customFormat="1">
      <c r="A172" s="610"/>
      <c r="B172" s="610"/>
      <c r="C172" s="610"/>
      <c r="D172" s="610"/>
      <c r="E172" s="613"/>
      <c r="G172" s="612"/>
      <c r="H172" s="453"/>
      <c r="I172" s="606"/>
      <c r="J172" s="521"/>
      <c r="K172" s="521"/>
      <c r="L172" s="521"/>
      <c r="M172" s="521"/>
      <c r="N172" s="521"/>
      <c r="O172" s="521"/>
      <c r="P172" s="521"/>
    </row>
    <row r="173" spans="1:16" s="607" customFormat="1">
      <c r="A173" s="610"/>
      <c r="B173" s="610"/>
      <c r="C173" s="610"/>
      <c r="D173" s="610"/>
      <c r="E173" s="613"/>
      <c r="G173" s="612"/>
      <c r="H173" s="453"/>
      <c r="I173" s="606"/>
      <c r="J173" s="521"/>
      <c r="K173" s="521"/>
      <c r="L173" s="521"/>
      <c r="M173" s="521"/>
      <c r="N173" s="521"/>
      <c r="O173" s="521"/>
      <c r="P173" s="521"/>
    </row>
    <row r="174" spans="1:16" s="607" customFormat="1">
      <c r="A174" s="610"/>
      <c r="B174" s="610"/>
      <c r="C174" s="610"/>
      <c r="D174" s="610"/>
      <c r="E174" s="613"/>
      <c r="G174" s="612"/>
      <c r="H174" s="453"/>
      <c r="I174" s="606"/>
      <c r="J174" s="521"/>
      <c r="K174" s="521"/>
      <c r="L174" s="521"/>
      <c r="M174" s="521"/>
      <c r="N174" s="521"/>
      <c r="O174" s="521"/>
      <c r="P174" s="521"/>
    </row>
    <row r="175" spans="1:16" s="607" customFormat="1">
      <c r="A175" s="610"/>
      <c r="B175" s="610"/>
      <c r="C175" s="610"/>
      <c r="D175" s="610"/>
      <c r="E175" s="613"/>
      <c r="G175" s="612"/>
      <c r="H175" s="453"/>
      <c r="I175" s="606"/>
      <c r="J175" s="521"/>
      <c r="K175" s="521"/>
      <c r="L175" s="521"/>
      <c r="M175" s="521"/>
      <c r="N175" s="521"/>
      <c r="O175" s="521"/>
      <c r="P175" s="521"/>
    </row>
    <row r="176" spans="1:16" s="607" customFormat="1">
      <c r="A176" s="610"/>
      <c r="B176" s="610"/>
      <c r="C176" s="610"/>
      <c r="D176" s="610"/>
      <c r="E176" s="613"/>
      <c r="G176" s="612"/>
      <c r="H176" s="453"/>
      <c r="I176" s="606"/>
      <c r="J176" s="521"/>
      <c r="K176" s="521"/>
      <c r="L176" s="521"/>
      <c r="M176" s="521"/>
      <c r="N176" s="521"/>
      <c r="O176" s="521"/>
      <c r="P176" s="521"/>
    </row>
    <row r="177" spans="1:16" s="607" customFormat="1">
      <c r="A177" s="610"/>
      <c r="B177" s="610"/>
      <c r="C177" s="610"/>
      <c r="D177" s="610"/>
      <c r="E177" s="613"/>
      <c r="G177" s="612"/>
      <c r="H177" s="453"/>
      <c r="I177" s="606"/>
      <c r="J177" s="521"/>
      <c r="K177" s="521"/>
      <c r="L177" s="521"/>
      <c r="M177" s="521"/>
      <c r="N177" s="521"/>
      <c r="O177" s="521"/>
      <c r="P177" s="521"/>
    </row>
    <row r="178" spans="1:16" s="607" customFormat="1">
      <c r="A178" s="610"/>
      <c r="B178" s="610"/>
      <c r="C178" s="610"/>
      <c r="D178" s="610"/>
      <c r="E178" s="613"/>
      <c r="G178" s="612"/>
      <c r="H178" s="453"/>
      <c r="I178" s="606"/>
      <c r="J178" s="521"/>
      <c r="K178" s="521"/>
      <c r="L178" s="521"/>
      <c r="M178" s="521"/>
      <c r="N178" s="521"/>
      <c r="O178" s="521"/>
      <c r="P178" s="521"/>
    </row>
    <row r="179" spans="1:16" s="607" customFormat="1">
      <c r="A179" s="610"/>
      <c r="B179" s="610"/>
      <c r="C179" s="610"/>
      <c r="D179" s="610"/>
      <c r="E179" s="613"/>
      <c r="G179" s="612"/>
      <c r="H179" s="453"/>
      <c r="I179" s="606"/>
      <c r="J179" s="521"/>
      <c r="K179" s="521"/>
      <c r="L179" s="521"/>
      <c r="M179" s="521"/>
      <c r="N179" s="521"/>
      <c r="O179" s="521"/>
      <c r="P179" s="521"/>
    </row>
    <row r="180" spans="1:16" s="607" customFormat="1">
      <c r="A180" s="610"/>
      <c r="B180" s="610"/>
      <c r="C180" s="610"/>
      <c r="D180" s="610"/>
      <c r="E180" s="613"/>
      <c r="G180" s="612"/>
      <c r="H180" s="453"/>
      <c r="I180" s="606"/>
      <c r="J180" s="521"/>
      <c r="K180" s="521"/>
      <c r="L180" s="521"/>
      <c r="M180" s="521"/>
      <c r="N180" s="521"/>
      <c r="O180" s="521"/>
      <c r="P180" s="521"/>
    </row>
    <row r="181" spans="1:16" s="607" customFormat="1">
      <c r="A181" s="610"/>
      <c r="B181" s="610"/>
      <c r="C181" s="610"/>
      <c r="D181" s="610"/>
      <c r="E181" s="613"/>
      <c r="G181" s="612"/>
      <c r="H181" s="453"/>
      <c r="I181" s="606"/>
      <c r="J181" s="521"/>
      <c r="K181" s="521"/>
      <c r="L181" s="521"/>
      <c r="M181" s="521"/>
      <c r="N181" s="521"/>
      <c r="O181" s="521"/>
      <c r="P181" s="521"/>
    </row>
    <row r="182" spans="1:16" s="607" customFormat="1">
      <c r="A182" s="610"/>
      <c r="B182" s="610"/>
      <c r="C182" s="610"/>
      <c r="D182" s="610"/>
      <c r="E182" s="613"/>
      <c r="G182" s="612"/>
      <c r="H182" s="453"/>
      <c r="I182" s="606"/>
      <c r="J182" s="521"/>
      <c r="K182" s="521"/>
      <c r="L182" s="521"/>
      <c r="M182" s="521"/>
      <c r="N182" s="521"/>
      <c r="O182" s="521"/>
      <c r="P182" s="521"/>
    </row>
    <row r="183" spans="1:16" s="607" customFormat="1">
      <c r="A183" s="610"/>
      <c r="B183" s="610"/>
      <c r="C183" s="610"/>
      <c r="D183" s="610"/>
      <c r="E183" s="613"/>
      <c r="G183" s="612"/>
      <c r="H183" s="453"/>
      <c r="I183" s="606"/>
      <c r="J183" s="521"/>
      <c r="K183" s="521"/>
      <c r="L183" s="521"/>
      <c r="M183" s="521"/>
      <c r="N183" s="521"/>
      <c r="O183" s="521"/>
      <c r="P183" s="521"/>
    </row>
    <row r="184" spans="1:16" s="607" customFormat="1">
      <c r="A184" s="610"/>
      <c r="B184" s="610"/>
      <c r="C184" s="610"/>
      <c r="D184" s="610"/>
      <c r="E184" s="613"/>
      <c r="G184" s="612"/>
      <c r="H184" s="453"/>
      <c r="I184" s="606"/>
      <c r="J184" s="521"/>
      <c r="K184" s="521"/>
      <c r="L184" s="521"/>
      <c r="M184" s="521"/>
      <c r="N184" s="521"/>
      <c r="O184" s="521"/>
      <c r="P184" s="521"/>
    </row>
    <row r="185" spans="1:16" s="607" customFormat="1">
      <c r="A185" s="610"/>
      <c r="B185" s="610"/>
      <c r="C185" s="610"/>
      <c r="D185" s="610"/>
      <c r="E185" s="613"/>
      <c r="G185" s="612"/>
      <c r="H185" s="453"/>
      <c r="I185" s="606"/>
      <c r="J185" s="521"/>
      <c r="K185" s="521"/>
      <c r="L185" s="521"/>
      <c r="M185" s="521"/>
      <c r="N185" s="521"/>
      <c r="O185" s="521"/>
      <c r="P185" s="521"/>
    </row>
    <row r="186" spans="1:16" s="607" customFormat="1">
      <c r="A186" s="610"/>
      <c r="B186" s="610"/>
      <c r="C186" s="610"/>
      <c r="D186" s="610"/>
      <c r="E186" s="613"/>
      <c r="G186" s="612"/>
      <c r="H186" s="453"/>
      <c r="I186" s="606"/>
      <c r="J186" s="521"/>
      <c r="K186" s="521"/>
      <c r="L186" s="521"/>
      <c r="M186" s="521"/>
      <c r="N186" s="521"/>
      <c r="O186" s="521"/>
      <c r="P186" s="521"/>
    </row>
    <row r="187" spans="1:16" s="607" customFormat="1">
      <c r="A187" s="610"/>
      <c r="B187" s="610"/>
      <c r="C187" s="610"/>
      <c r="D187" s="610"/>
      <c r="E187" s="613"/>
      <c r="G187" s="612"/>
      <c r="H187" s="453"/>
      <c r="I187" s="606"/>
      <c r="J187" s="521"/>
      <c r="K187" s="521"/>
      <c r="L187" s="521"/>
      <c r="M187" s="521"/>
      <c r="N187" s="521"/>
      <c r="O187" s="521"/>
      <c r="P187" s="521"/>
    </row>
    <row r="188" spans="1:16" s="607" customFormat="1">
      <c r="A188" s="610"/>
      <c r="B188" s="610"/>
      <c r="C188" s="610"/>
      <c r="D188" s="610"/>
      <c r="E188" s="613"/>
      <c r="G188" s="612"/>
      <c r="H188" s="453"/>
      <c r="I188" s="606"/>
      <c r="J188" s="521"/>
      <c r="K188" s="521"/>
      <c r="L188" s="521"/>
      <c r="M188" s="521"/>
      <c r="N188" s="521"/>
      <c r="O188" s="521"/>
      <c r="P188" s="521"/>
    </row>
    <row r="189" spans="1:16" s="607" customFormat="1">
      <c r="A189" s="610"/>
      <c r="B189" s="610"/>
      <c r="C189" s="610"/>
      <c r="D189" s="610"/>
      <c r="E189" s="613"/>
      <c r="G189" s="612"/>
      <c r="H189" s="453"/>
      <c r="I189" s="606"/>
      <c r="J189" s="521"/>
      <c r="K189" s="521"/>
      <c r="L189" s="521"/>
      <c r="M189" s="521"/>
      <c r="N189" s="521"/>
      <c r="O189" s="521"/>
      <c r="P189" s="521"/>
    </row>
    <row r="190" spans="1:16" s="607" customFormat="1">
      <c r="A190" s="610"/>
      <c r="B190" s="610"/>
      <c r="C190" s="610"/>
      <c r="D190" s="610"/>
      <c r="E190" s="613"/>
      <c r="G190" s="612"/>
      <c r="H190" s="453"/>
      <c r="I190" s="606"/>
      <c r="J190" s="521"/>
      <c r="K190" s="521"/>
      <c r="L190" s="521"/>
      <c r="M190" s="521"/>
      <c r="N190" s="521"/>
      <c r="O190" s="521"/>
      <c r="P190" s="521"/>
    </row>
    <row r="191" spans="1:16" s="607" customFormat="1">
      <c r="A191" s="610"/>
      <c r="B191" s="610"/>
      <c r="C191" s="610"/>
      <c r="D191" s="610"/>
      <c r="E191" s="613"/>
      <c r="G191" s="612"/>
      <c r="H191" s="453"/>
      <c r="I191" s="606"/>
      <c r="J191" s="521"/>
      <c r="K191" s="521"/>
      <c r="L191" s="521"/>
      <c r="M191" s="521"/>
      <c r="N191" s="521"/>
      <c r="O191" s="521"/>
      <c r="P191" s="521"/>
    </row>
    <row r="192" spans="1:16" s="607" customFormat="1">
      <c r="A192" s="610"/>
      <c r="B192" s="610"/>
      <c r="C192" s="610"/>
      <c r="D192" s="610"/>
      <c r="E192" s="613"/>
      <c r="G192" s="612"/>
      <c r="H192" s="453"/>
      <c r="I192" s="606"/>
      <c r="J192" s="521"/>
      <c r="K192" s="521"/>
      <c r="L192" s="521"/>
      <c r="M192" s="521"/>
      <c r="N192" s="521"/>
      <c r="O192" s="521"/>
      <c r="P192" s="521"/>
    </row>
    <row r="193" spans="1:16" s="607" customFormat="1">
      <c r="A193" s="610"/>
      <c r="B193" s="610"/>
      <c r="C193" s="610"/>
      <c r="D193" s="610"/>
      <c r="E193" s="613"/>
      <c r="G193" s="612"/>
      <c r="H193" s="453"/>
      <c r="I193" s="606"/>
      <c r="J193" s="521"/>
      <c r="K193" s="521"/>
      <c r="L193" s="521"/>
      <c r="M193" s="521"/>
      <c r="N193" s="521"/>
      <c r="O193" s="521"/>
      <c r="P193" s="521"/>
    </row>
    <row r="194" spans="1:16" s="607" customFormat="1">
      <c r="A194" s="610"/>
      <c r="B194" s="610"/>
      <c r="C194" s="610"/>
      <c r="D194" s="610"/>
      <c r="E194" s="613"/>
      <c r="G194" s="612"/>
      <c r="H194" s="453"/>
      <c r="I194" s="606"/>
      <c r="J194" s="521"/>
      <c r="K194" s="521"/>
      <c r="L194" s="521"/>
      <c r="M194" s="521"/>
      <c r="N194" s="521"/>
      <c r="O194" s="521"/>
      <c r="P194" s="521"/>
    </row>
    <row r="195" spans="1:16" s="607" customFormat="1">
      <c r="A195" s="610"/>
      <c r="B195" s="610"/>
      <c r="C195" s="610"/>
      <c r="D195" s="610"/>
      <c r="E195" s="613"/>
      <c r="G195" s="612"/>
      <c r="H195" s="453"/>
      <c r="I195" s="606"/>
      <c r="J195" s="521"/>
      <c r="K195" s="521"/>
      <c r="L195" s="521"/>
      <c r="M195" s="521"/>
      <c r="N195" s="521"/>
      <c r="O195" s="521"/>
      <c r="P195" s="521"/>
    </row>
    <row r="196" spans="1:16" s="607" customFormat="1">
      <c r="A196" s="610"/>
      <c r="B196" s="610"/>
      <c r="C196" s="610"/>
      <c r="D196" s="610"/>
      <c r="E196" s="613"/>
      <c r="G196" s="612"/>
      <c r="H196" s="453"/>
      <c r="I196" s="606"/>
      <c r="J196" s="521"/>
      <c r="K196" s="521"/>
      <c r="L196" s="521"/>
      <c r="M196" s="521"/>
      <c r="N196" s="521"/>
      <c r="O196" s="521"/>
      <c r="P196" s="521"/>
    </row>
    <row r="197" spans="1:16" s="607" customFormat="1">
      <c r="A197" s="610"/>
      <c r="B197" s="610"/>
      <c r="C197" s="610"/>
      <c r="D197" s="610"/>
      <c r="E197" s="613"/>
      <c r="G197" s="612"/>
      <c r="H197" s="453"/>
      <c r="I197" s="606"/>
      <c r="J197" s="521"/>
      <c r="K197" s="521"/>
      <c r="L197" s="521"/>
      <c r="M197" s="521"/>
      <c r="N197" s="521"/>
      <c r="O197" s="521"/>
      <c r="P197" s="521"/>
    </row>
    <row r="198" spans="1:16" s="607" customFormat="1">
      <c r="A198" s="610"/>
      <c r="B198" s="610"/>
      <c r="C198" s="610"/>
      <c r="D198" s="610"/>
      <c r="E198" s="613"/>
      <c r="G198" s="612"/>
      <c r="H198" s="453"/>
      <c r="I198" s="606"/>
      <c r="J198" s="521"/>
      <c r="K198" s="521"/>
      <c r="L198" s="521"/>
      <c r="M198" s="521"/>
      <c r="N198" s="521"/>
      <c r="O198" s="521"/>
      <c r="P198" s="521"/>
    </row>
    <row r="199" spans="1:16" s="607" customFormat="1">
      <c r="A199" s="610"/>
      <c r="B199" s="610"/>
      <c r="C199" s="610"/>
      <c r="D199" s="610"/>
      <c r="E199" s="613"/>
      <c r="G199" s="612"/>
      <c r="H199" s="453"/>
      <c r="I199" s="606"/>
      <c r="J199" s="521"/>
      <c r="K199" s="521"/>
      <c r="L199" s="521"/>
      <c r="M199" s="521"/>
      <c r="N199" s="521"/>
      <c r="O199" s="521"/>
      <c r="P199" s="521"/>
    </row>
    <row r="200" spans="1:16" s="607" customFormat="1">
      <c r="A200" s="610"/>
      <c r="B200" s="610"/>
      <c r="C200" s="610"/>
      <c r="D200" s="610"/>
      <c r="E200" s="613"/>
      <c r="G200" s="612"/>
      <c r="H200" s="453"/>
      <c r="I200" s="606"/>
      <c r="J200" s="521"/>
      <c r="K200" s="521"/>
      <c r="L200" s="521"/>
      <c r="M200" s="521"/>
      <c r="N200" s="521"/>
      <c r="O200" s="521"/>
      <c r="P200" s="521"/>
    </row>
    <row r="201" spans="1:16" s="607" customFormat="1">
      <c r="A201" s="610"/>
      <c r="B201" s="610"/>
      <c r="C201" s="610"/>
      <c r="D201" s="610"/>
      <c r="E201" s="613"/>
      <c r="G201" s="612"/>
      <c r="H201" s="453"/>
      <c r="I201" s="606"/>
      <c r="J201" s="521"/>
      <c r="K201" s="521"/>
      <c r="L201" s="521"/>
      <c r="M201" s="521"/>
      <c r="N201" s="521"/>
      <c r="O201" s="521"/>
      <c r="P201" s="521"/>
    </row>
    <row r="202" spans="1:16" s="607" customFormat="1">
      <c r="A202" s="610"/>
      <c r="B202" s="610"/>
      <c r="C202" s="610"/>
      <c r="D202" s="610"/>
      <c r="E202" s="613"/>
      <c r="G202" s="612"/>
      <c r="H202" s="453"/>
      <c r="I202" s="606"/>
      <c r="J202" s="521"/>
      <c r="K202" s="521"/>
      <c r="L202" s="521"/>
      <c r="M202" s="521"/>
      <c r="N202" s="521"/>
      <c r="O202" s="521"/>
      <c r="P202" s="521"/>
    </row>
    <row r="203" spans="1:16" s="607" customFormat="1">
      <c r="A203" s="610"/>
      <c r="B203" s="610"/>
      <c r="C203" s="610"/>
      <c r="D203" s="610"/>
      <c r="E203" s="613"/>
      <c r="G203" s="612"/>
      <c r="H203" s="453"/>
      <c r="I203" s="606"/>
      <c r="J203" s="521"/>
      <c r="K203" s="521"/>
      <c r="L203" s="521"/>
      <c r="M203" s="521"/>
      <c r="N203" s="521"/>
      <c r="O203" s="521"/>
      <c r="P203" s="521"/>
    </row>
    <row r="204" spans="1:16" s="607" customFormat="1">
      <c r="A204" s="610"/>
      <c r="B204" s="610"/>
      <c r="C204" s="610"/>
      <c r="D204" s="610"/>
      <c r="E204" s="613"/>
      <c r="G204" s="612"/>
      <c r="H204" s="453"/>
      <c r="I204" s="606"/>
      <c r="J204" s="521"/>
      <c r="K204" s="521"/>
      <c r="L204" s="521"/>
      <c r="M204" s="521"/>
      <c r="N204" s="521"/>
      <c r="O204" s="521"/>
      <c r="P204" s="521"/>
    </row>
    <row r="205" spans="1:16" s="607" customFormat="1">
      <c r="A205" s="610"/>
      <c r="B205" s="610"/>
      <c r="C205" s="610"/>
      <c r="D205" s="610"/>
      <c r="E205" s="613"/>
      <c r="G205" s="612"/>
      <c r="H205" s="453"/>
      <c r="I205" s="606"/>
      <c r="J205" s="521"/>
      <c r="K205" s="521"/>
      <c r="L205" s="521"/>
      <c r="M205" s="521"/>
      <c r="N205" s="521"/>
      <c r="O205" s="521"/>
      <c r="P205" s="521"/>
    </row>
    <row r="206" spans="1:16" s="607" customFormat="1">
      <c r="A206" s="610"/>
      <c r="B206" s="610"/>
      <c r="C206" s="610"/>
      <c r="D206" s="610"/>
      <c r="E206" s="613"/>
      <c r="G206" s="612"/>
      <c r="H206" s="453"/>
      <c r="I206" s="606"/>
      <c r="J206" s="521"/>
      <c r="K206" s="521"/>
      <c r="L206" s="521"/>
      <c r="M206" s="521"/>
      <c r="N206" s="521"/>
      <c r="O206" s="521"/>
      <c r="P206" s="521"/>
    </row>
    <row r="207" spans="1:16" s="607" customFormat="1">
      <c r="A207" s="610"/>
      <c r="B207" s="610"/>
      <c r="C207" s="610"/>
      <c r="D207" s="610"/>
      <c r="E207" s="613"/>
      <c r="G207" s="612"/>
      <c r="H207" s="453"/>
      <c r="I207" s="606"/>
      <c r="J207" s="521"/>
      <c r="K207" s="521"/>
      <c r="L207" s="521"/>
      <c r="M207" s="521"/>
      <c r="N207" s="521"/>
      <c r="O207" s="521"/>
      <c r="P207" s="521"/>
    </row>
    <row r="208" spans="1:16" s="607" customFormat="1">
      <c r="A208" s="610"/>
      <c r="B208" s="610"/>
      <c r="C208" s="610"/>
      <c r="D208" s="610"/>
      <c r="E208" s="613"/>
      <c r="G208" s="612"/>
      <c r="H208" s="453"/>
      <c r="I208" s="606"/>
      <c r="J208" s="521"/>
      <c r="K208" s="521"/>
      <c r="L208" s="521"/>
      <c r="M208" s="521"/>
      <c r="N208" s="521"/>
      <c r="O208" s="521"/>
      <c r="P208" s="521"/>
    </row>
    <row r="209" spans="1:16" s="607" customFormat="1">
      <c r="A209" s="610"/>
      <c r="B209" s="610"/>
      <c r="C209" s="610"/>
      <c r="D209" s="610"/>
      <c r="E209" s="613"/>
      <c r="G209" s="612"/>
      <c r="H209" s="453"/>
      <c r="I209" s="606"/>
      <c r="J209" s="521"/>
      <c r="K209" s="521"/>
      <c r="L209" s="521"/>
      <c r="M209" s="521"/>
      <c r="N209" s="521"/>
      <c r="O209" s="521"/>
      <c r="P209" s="521"/>
    </row>
    <row r="210" spans="1:16" s="607" customFormat="1">
      <c r="A210" s="610"/>
      <c r="B210" s="610"/>
      <c r="C210" s="610"/>
      <c r="D210" s="610"/>
      <c r="E210" s="613"/>
      <c r="G210" s="612"/>
      <c r="H210" s="453"/>
      <c r="I210" s="606"/>
      <c r="J210" s="521"/>
      <c r="K210" s="521"/>
      <c r="L210" s="521"/>
      <c r="M210" s="521"/>
      <c r="N210" s="521"/>
      <c r="O210" s="521"/>
      <c r="P210" s="521"/>
    </row>
    <row r="211" spans="1:16" s="607" customFormat="1">
      <c r="A211" s="610"/>
      <c r="B211" s="610"/>
      <c r="C211" s="610"/>
      <c r="D211" s="610"/>
      <c r="E211" s="613"/>
      <c r="G211" s="612"/>
      <c r="H211" s="453"/>
      <c r="I211" s="606"/>
      <c r="J211" s="521"/>
      <c r="K211" s="521"/>
      <c r="L211" s="521"/>
      <c r="M211" s="521"/>
      <c r="N211" s="521"/>
      <c r="O211" s="521"/>
      <c r="P211" s="521"/>
    </row>
    <row r="212" spans="1:16" s="607" customFormat="1">
      <c r="A212" s="610"/>
      <c r="B212" s="610"/>
      <c r="C212" s="610"/>
      <c r="D212" s="610"/>
      <c r="E212" s="613"/>
      <c r="G212" s="612"/>
      <c r="H212" s="453"/>
      <c r="I212" s="606"/>
      <c r="J212" s="521"/>
      <c r="K212" s="521"/>
      <c r="L212" s="521"/>
      <c r="M212" s="521"/>
      <c r="N212" s="521"/>
      <c r="O212" s="521"/>
      <c r="P212" s="521"/>
    </row>
    <row r="213" spans="1:16" s="607" customFormat="1">
      <c r="A213" s="610"/>
      <c r="B213" s="610"/>
      <c r="C213" s="610"/>
      <c r="D213" s="610"/>
      <c r="E213" s="613"/>
      <c r="G213" s="612"/>
      <c r="H213" s="453"/>
      <c r="I213" s="606"/>
      <c r="J213" s="521"/>
      <c r="K213" s="521"/>
      <c r="L213" s="521"/>
      <c r="M213" s="521"/>
      <c r="N213" s="521"/>
      <c r="O213" s="521"/>
      <c r="P213" s="521"/>
    </row>
    <row r="214" spans="1:16" s="607" customFormat="1">
      <c r="A214" s="610"/>
      <c r="B214" s="610"/>
      <c r="C214" s="610"/>
      <c r="D214" s="610"/>
      <c r="E214" s="613"/>
      <c r="G214" s="612"/>
      <c r="H214" s="453"/>
      <c r="I214" s="606"/>
      <c r="J214" s="521"/>
      <c r="K214" s="521"/>
      <c r="L214" s="521"/>
      <c r="M214" s="521"/>
      <c r="N214" s="521"/>
      <c r="O214" s="521"/>
      <c r="P214" s="521"/>
    </row>
    <row r="215" spans="1:16" s="607" customFormat="1">
      <c r="A215" s="610"/>
      <c r="B215" s="610"/>
      <c r="C215" s="610"/>
      <c r="D215" s="610"/>
      <c r="E215" s="613"/>
      <c r="G215" s="612"/>
      <c r="H215" s="453"/>
      <c r="I215" s="606"/>
      <c r="J215" s="521"/>
      <c r="K215" s="521"/>
      <c r="L215" s="521"/>
      <c r="M215" s="521"/>
      <c r="N215" s="521"/>
      <c r="O215" s="521"/>
      <c r="P215" s="521"/>
    </row>
    <row r="216" spans="1:16" s="607" customFormat="1">
      <c r="A216" s="610"/>
      <c r="B216" s="610"/>
      <c r="C216" s="610"/>
      <c r="D216" s="610"/>
      <c r="E216" s="613"/>
      <c r="G216" s="612"/>
      <c r="H216" s="453"/>
      <c r="I216" s="606"/>
      <c r="J216" s="521"/>
      <c r="K216" s="521"/>
      <c r="L216" s="521"/>
      <c r="M216" s="521"/>
      <c r="N216" s="521"/>
      <c r="O216" s="521"/>
      <c r="P216" s="521"/>
    </row>
    <row r="217" spans="1:16" s="607" customFormat="1">
      <c r="A217" s="610"/>
      <c r="B217" s="610"/>
      <c r="C217" s="610"/>
      <c r="D217" s="610"/>
      <c r="E217" s="613"/>
      <c r="G217" s="612"/>
      <c r="H217" s="453"/>
      <c r="I217" s="606"/>
      <c r="J217" s="521"/>
      <c r="K217" s="521"/>
      <c r="L217" s="521"/>
      <c r="M217" s="521"/>
      <c r="N217" s="521"/>
      <c r="O217" s="521"/>
      <c r="P217" s="521"/>
    </row>
    <row r="218" spans="1:16" s="607" customFormat="1">
      <c r="A218" s="610"/>
      <c r="B218" s="610"/>
      <c r="C218" s="610"/>
      <c r="D218" s="610"/>
      <c r="E218" s="613"/>
      <c r="G218" s="612"/>
      <c r="H218" s="453"/>
      <c r="I218" s="606"/>
      <c r="J218" s="521"/>
      <c r="K218" s="521"/>
      <c r="L218" s="521"/>
      <c r="M218" s="521"/>
      <c r="N218" s="521"/>
      <c r="O218" s="521"/>
      <c r="P218" s="521"/>
    </row>
    <row r="219" spans="1:16" s="607" customFormat="1">
      <c r="A219" s="610"/>
      <c r="B219" s="610"/>
      <c r="C219" s="610"/>
      <c r="D219" s="610"/>
      <c r="E219" s="613"/>
      <c r="G219" s="612"/>
      <c r="H219" s="453"/>
      <c r="I219" s="606"/>
      <c r="J219" s="521"/>
      <c r="K219" s="521"/>
      <c r="L219" s="521"/>
      <c r="M219" s="521"/>
      <c r="N219" s="521"/>
      <c r="O219" s="521"/>
      <c r="P219" s="521"/>
    </row>
    <row r="220" spans="1:16" s="607" customFormat="1">
      <c r="A220" s="610"/>
      <c r="B220" s="610"/>
      <c r="C220" s="610"/>
      <c r="D220" s="610"/>
      <c r="E220" s="613"/>
      <c r="G220" s="612"/>
      <c r="H220" s="453"/>
      <c r="I220" s="606"/>
      <c r="J220" s="521"/>
      <c r="K220" s="521"/>
      <c r="L220" s="521"/>
      <c r="M220" s="521"/>
      <c r="N220" s="521"/>
      <c r="O220" s="521"/>
      <c r="P220" s="521"/>
    </row>
    <row r="221" spans="1:16" s="607" customFormat="1">
      <c r="A221" s="610"/>
      <c r="B221" s="610"/>
      <c r="C221" s="610"/>
      <c r="D221" s="610"/>
      <c r="E221" s="613"/>
      <c r="G221" s="612"/>
      <c r="H221" s="453"/>
      <c r="I221" s="606"/>
      <c r="J221" s="521"/>
      <c r="K221" s="521"/>
      <c r="L221" s="521"/>
      <c r="M221" s="521"/>
      <c r="N221" s="521"/>
      <c r="O221" s="521"/>
      <c r="P221" s="521"/>
    </row>
    <row r="222" spans="1:16" s="607" customFormat="1">
      <c r="A222" s="610"/>
      <c r="B222" s="610"/>
      <c r="C222" s="610"/>
      <c r="D222" s="610"/>
      <c r="E222" s="613"/>
      <c r="G222" s="612"/>
      <c r="H222" s="453"/>
      <c r="I222" s="606"/>
      <c r="J222" s="521"/>
      <c r="K222" s="521"/>
      <c r="L222" s="521"/>
      <c r="M222" s="521"/>
      <c r="N222" s="521"/>
      <c r="O222" s="521"/>
      <c r="P222" s="521"/>
    </row>
    <row r="223" spans="1:16" s="607" customFormat="1">
      <c r="A223" s="610"/>
      <c r="B223" s="610"/>
      <c r="C223" s="610"/>
      <c r="D223" s="610"/>
      <c r="E223" s="613"/>
      <c r="G223" s="612"/>
      <c r="H223" s="453"/>
      <c r="I223" s="606"/>
      <c r="J223" s="521"/>
      <c r="K223" s="521"/>
      <c r="L223" s="521"/>
      <c r="M223" s="521"/>
      <c r="N223" s="521"/>
      <c r="O223" s="521"/>
      <c r="P223" s="521"/>
    </row>
    <row r="224" spans="1:16" s="607" customFormat="1">
      <c r="A224" s="610"/>
      <c r="B224" s="610"/>
      <c r="C224" s="610"/>
      <c r="D224" s="610"/>
      <c r="E224" s="613"/>
      <c r="G224" s="612"/>
      <c r="H224" s="453"/>
      <c r="I224" s="606"/>
      <c r="J224" s="521"/>
      <c r="K224" s="521"/>
      <c r="L224" s="521"/>
      <c r="M224" s="521"/>
      <c r="N224" s="521"/>
      <c r="O224" s="521"/>
      <c r="P224" s="521"/>
    </row>
    <row r="225" spans="1:16" s="607" customFormat="1">
      <c r="A225" s="610"/>
      <c r="B225" s="610"/>
      <c r="C225" s="610"/>
      <c r="D225" s="610"/>
      <c r="E225" s="613"/>
      <c r="G225" s="612"/>
      <c r="H225" s="453"/>
      <c r="I225" s="606"/>
      <c r="J225" s="521"/>
      <c r="K225" s="521"/>
      <c r="L225" s="521"/>
      <c r="M225" s="521"/>
      <c r="N225" s="521"/>
      <c r="O225" s="521"/>
      <c r="P225" s="521"/>
    </row>
    <row r="226" spans="1:16" s="607" customFormat="1">
      <c r="A226" s="610"/>
      <c r="B226" s="610"/>
      <c r="C226" s="610"/>
      <c r="D226" s="610"/>
      <c r="E226" s="613"/>
      <c r="G226" s="612"/>
      <c r="H226" s="453"/>
      <c r="I226" s="606"/>
      <c r="J226" s="521"/>
      <c r="K226" s="521"/>
      <c r="L226" s="521"/>
      <c r="M226" s="521"/>
      <c r="N226" s="521"/>
      <c r="O226" s="521"/>
      <c r="P226" s="521"/>
    </row>
    <row r="227" spans="1:16" s="607" customFormat="1">
      <c r="A227" s="610"/>
      <c r="B227" s="610"/>
      <c r="C227" s="610"/>
      <c r="D227" s="610"/>
      <c r="E227" s="613"/>
      <c r="G227" s="612"/>
      <c r="H227" s="453"/>
      <c r="I227" s="606"/>
      <c r="J227" s="521"/>
      <c r="K227" s="521"/>
      <c r="L227" s="521"/>
      <c r="M227" s="521"/>
      <c r="N227" s="521"/>
      <c r="O227" s="521"/>
      <c r="P227" s="521"/>
    </row>
    <row r="228" spans="1:16" s="607" customFormat="1">
      <c r="A228" s="610"/>
      <c r="B228" s="610"/>
      <c r="C228" s="610"/>
      <c r="D228" s="610"/>
      <c r="E228" s="613"/>
      <c r="G228" s="612"/>
      <c r="H228" s="453"/>
      <c r="I228" s="606"/>
      <c r="J228" s="521"/>
      <c r="K228" s="521"/>
      <c r="L228" s="521"/>
      <c r="M228" s="521"/>
      <c r="N228" s="521"/>
      <c r="O228" s="521"/>
      <c r="P228" s="521"/>
    </row>
    <row r="229" spans="1:16" s="607" customFormat="1">
      <c r="A229" s="610"/>
      <c r="B229" s="610"/>
      <c r="C229" s="610"/>
      <c r="D229" s="610"/>
      <c r="E229" s="613"/>
      <c r="G229" s="612"/>
      <c r="H229" s="453"/>
      <c r="I229" s="606"/>
      <c r="J229" s="521"/>
      <c r="K229" s="521"/>
      <c r="L229" s="521"/>
      <c r="M229" s="521"/>
      <c r="N229" s="521"/>
      <c r="O229" s="521"/>
      <c r="P229" s="521"/>
    </row>
    <row r="230" spans="1:16" s="607" customFormat="1">
      <c r="A230" s="610"/>
      <c r="B230" s="610"/>
      <c r="C230" s="610"/>
      <c r="D230" s="610"/>
      <c r="E230" s="613"/>
      <c r="G230" s="612"/>
      <c r="H230" s="453"/>
      <c r="I230" s="606"/>
      <c r="J230" s="521"/>
      <c r="K230" s="521"/>
      <c r="L230" s="521"/>
      <c r="M230" s="521"/>
      <c r="N230" s="521"/>
      <c r="O230" s="521"/>
      <c r="P230" s="521"/>
    </row>
    <row r="231" spans="1:16" s="607" customFormat="1">
      <c r="A231" s="610"/>
      <c r="B231" s="610"/>
      <c r="C231" s="610"/>
      <c r="D231" s="610"/>
      <c r="E231" s="613"/>
      <c r="G231" s="612"/>
      <c r="H231" s="453"/>
      <c r="I231" s="606"/>
      <c r="J231" s="521"/>
      <c r="K231" s="521"/>
      <c r="L231" s="521"/>
      <c r="M231" s="521"/>
      <c r="N231" s="521"/>
      <c r="O231" s="521"/>
      <c r="P231" s="521"/>
    </row>
    <row r="232" spans="1:16" s="607" customFormat="1">
      <c r="A232" s="610"/>
      <c r="B232" s="610"/>
      <c r="C232" s="610"/>
      <c r="D232" s="610"/>
      <c r="E232" s="613"/>
      <c r="G232" s="612"/>
      <c r="H232" s="453"/>
      <c r="I232" s="606"/>
      <c r="J232" s="521"/>
      <c r="K232" s="521"/>
      <c r="L232" s="521"/>
      <c r="M232" s="521"/>
      <c r="N232" s="521"/>
      <c r="O232" s="521"/>
      <c r="P232" s="521"/>
    </row>
    <row r="233" spans="1:16" s="607" customFormat="1">
      <c r="A233" s="610"/>
      <c r="B233" s="610"/>
      <c r="C233" s="610"/>
      <c r="D233" s="610"/>
      <c r="E233" s="613"/>
      <c r="G233" s="612"/>
      <c r="H233" s="453"/>
      <c r="I233" s="606"/>
      <c r="J233" s="521"/>
      <c r="K233" s="521"/>
      <c r="L233" s="521"/>
      <c r="M233" s="521"/>
      <c r="N233" s="521"/>
      <c r="O233" s="521"/>
      <c r="P233" s="521"/>
    </row>
    <row r="234" spans="1:16" s="607" customFormat="1">
      <c r="A234" s="610"/>
      <c r="B234" s="610"/>
      <c r="C234" s="610"/>
      <c r="D234" s="610"/>
      <c r="E234" s="613"/>
      <c r="G234" s="612"/>
      <c r="H234" s="453"/>
      <c r="I234" s="606"/>
      <c r="J234" s="521"/>
      <c r="K234" s="521"/>
      <c r="L234" s="521"/>
      <c r="M234" s="521"/>
      <c r="N234" s="521"/>
      <c r="O234" s="521"/>
      <c r="P234" s="521"/>
    </row>
    <row r="235" spans="1:16" s="607" customFormat="1">
      <c r="A235" s="610"/>
      <c r="B235" s="610"/>
      <c r="C235" s="610"/>
      <c r="D235" s="610"/>
      <c r="E235" s="613"/>
      <c r="G235" s="612"/>
      <c r="H235" s="453"/>
      <c r="I235" s="606"/>
      <c r="J235" s="521"/>
      <c r="K235" s="521"/>
      <c r="L235" s="521"/>
      <c r="M235" s="521"/>
      <c r="N235" s="521"/>
      <c r="O235" s="521"/>
      <c r="P235" s="521"/>
    </row>
    <row r="236" spans="1:16" s="607" customFormat="1">
      <c r="A236" s="610"/>
      <c r="B236" s="610"/>
      <c r="C236" s="610"/>
      <c r="D236" s="610"/>
      <c r="E236" s="613"/>
      <c r="G236" s="612"/>
      <c r="H236" s="453"/>
      <c r="I236" s="606"/>
      <c r="J236" s="521"/>
      <c r="K236" s="521"/>
      <c r="L236" s="521"/>
      <c r="M236" s="521"/>
      <c r="N236" s="521"/>
      <c r="O236" s="521"/>
      <c r="P236" s="521"/>
    </row>
    <row r="237" spans="1:16" s="607" customFormat="1">
      <c r="A237" s="610"/>
      <c r="B237" s="610"/>
      <c r="C237" s="610"/>
      <c r="D237" s="610"/>
      <c r="E237" s="613"/>
      <c r="G237" s="612"/>
      <c r="H237" s="453"/>
      <c r="I237" s="606"/>
      <c r="J237" s="521"/>
      <c r="K237" s="521"/>
      <c r="L237" s="521"/>
      <c r="M237" s="521"/>
      <c r="N237" s="521"/>
      <c r="O237" s="521"/>
      <c r="P237" s="521"/>
    </row>
    <row r="238" spans="1:16" s="607" customFormat="1">
      <c r="A238" s="610"/>
      <c r="B238" s="610"/>
      <c r="C238" s="610"/>
      <c r="D238" s="610"/>
      <c r="E238" s="613"/>
      <c r="G238" s="612"/>
      <c r="H238" s="453"/>
      <c r="I238" s="606"/>
      <c r="J238" s="521"/>
      <c r="K238" s="521"/>
      <c r="L238" s="521"/>
      <c r="M238" s="521"/>
      <c r="N238" s="521"/>
      <c r="O238" s="521"/>
      <c r="P238" s="521"/>
    </row>
    <row r="239" spans="1:16" s="607" customFormat="1">
      <c r="A239" s="610"/>
      <c r="B239" s="610"/>
      <c r="C239" s="610"/>
      <c r="D239" s="610"/>
      <c r="E239" s="613"/>
      <c r="G239" s="612"/>
      <c r="H239" s="453"/>
      <c r="I239" s="606"/>
      <c r="J239" s="521"/>
      <c r="K239" s="521"/>
      <c r="L239" s="521"/>
      <c r="M239" s="521"/>
      <c r="N239" s="521"/>
      <c r="O239" s="521"/>
      <c r="P239" s="521"/>
    </row>
    <row r="240" spans="1:16" s="607" customFormat="1">
      <c r="A240" s="610"/>
      <c r="B240" s="610"/>
      <c r="C240" s="610"/>
      <c r="D240" s="610"/>
      <c r="E240" s="613"/>
      <c r="G240" s="612"/>
      <c r="H240" s="453"/>
      <c r="I240" s="606"/>
      <c r="J240" s="521"/>
      <c r="K240" s="521"/>
      <c r="L240" s="521"/>
      <c r="M240" s="521"/>
      <c r="N240" s="521"/>
      <c r="O240" s="521"/>
      <c r="P240" s="521"/>
    </row>
    <row r="241" spans="1:16" s="607" customFormat="1">
      <c r="A241" s="610"/>
      <c r="B241" s="610"/>
      <c r="C241" s="610"/>
      <c r="D241" s="610"/>
      <c r="E241" s="613"/>
      <c r="G241" s="612"/>
      <c r="H241" s="453"/>
      <c r="I241" s="606"/>
      <c r="J241" s="521"/>
      <c r="K241" s="521"/>
      <c r="L241" s="521"/>
      <c r="M241" s="521"/>
      <c r="N241" s="521"/>
      <c r="O241" s="521"/>
      <c r="P241" s="521"/>
    </row>
    <row r="242" spans="1:16" s="607" customFormat="1">
      <c r="A242" s="610"/>
      <c r="B242" s="610"/>
      <c r="C242" s="610"/>
      <c r="D242" s="610"/>
      <c r="E242" s="613"/>
      <c r="G242" s="612"/>
      <c r="H242" s="453"/>
      <c r="I242" s="606"/>
      <c r="J242" s="521"/>
      <c r="K242" s="521"/>
      <c r="L242" s="521"/>
      <c r="M242" s="521"/>
      <c r="N242" s="521"/>
      <c r="O242" s="521"/>
      <c r="P242" s="521"/>
    </row>
    <row r="243" spans="1:16" s="607" customFormat="1">
      <c r="A243" s="610"/>
      <c r="B243" s="610"/>
      <c r="C243" s="610"/>
      <c r="D243" s="610"/>
      <c r="E243" s="613"/>
      <c r="G243" s="612"/>
      <c r="H243" s="453"/>
      <c r="I243" s="606"/>
      <c r="J243" s="521"/>
      <c r="K243" s="521"/>
      <c r="L243" s="521"/>
      <c r="M243" s="521"/>
      <c r="N243" s="521"/>
      <c r="O243" s="521"/>
      <c r="P243" s="521"/>
    </row>
    <row r="244" spans="1:16" s="607" customFormat="1">
      <c r="A244" s="610"/>
      <c r="B244" s="610"/>
      <c r="C244" s="610"/>
      <c r="D244" s="610"/>
      <c r="E244" s="613"/>
      <c r="G244" s="612"/>
      <c r="H244" s="453"/>
      <c r="I244" s="606"/>
      <c r="J244" s="521"/>
      <c r="K244" s="521"/>
      <c r="L244" s="521"/>
      <c r="M244" s="521"/>
      <c r="N244" s="521"/>
      <c r="O244" s="521"/>
      <c r="P244" s="521"/>
    </row>
    <row r="245" spans="1:16" s="607" customFormat="1">
      <c r="A245" s="610"/>
      <c r="B245" s="610"/>
      <c r="C245" s="610"/>
      <c r="D245" s="610"/>
      <c r="E245" s="613"/>
      <c r="G245" s="612"/>
      <c r="H245" s="453"/>
      <c r="I245" s="606"/>
      <c r="J245" s="521"/>
      <c r="K245" s="521"/>
      <c r="L245" s="521"/>
      <c r="M245" s="521"/>
      <c r="N245" s="521"/>
      <c r="O245" s="521"/>
      <c r="P245" s="521"/>
    </row>
    <row r="246" spans="1:16" s="607" customFormat="1">
      <c r="A246" s="610"/>
      <c r="B246" s="610"/>
      <c r="C246" s="610"/>
      <c r="D246" s="610"/>
      <c r="E246" s="613"/>
      <c r="G246" s="612"/>
      <c r="H246" s="453"/>
      <c r="I246" s="606"/>
      <c r="J246" s="521"/>
      <c r="K246" s="521"/>
      <c r="L246" s="521"/>
      <c r="M246" s="521"/>
      <c r="N246" s="521"/>
      <c r="O246" s="521"/>
      <c r="P246" s="521"/>
    </row>
    <row r="247" spans="1:16" s="607" customFormat="1">
      <c r="A247" s="610"/>
      <c r="B247" s="610"/>
      <c r="C247" s="610"/>
      <c r="D247" s="610"/>
      <c r="E247" s="613"/>
      <c r="G247" s="612"/>
      <c r="H247" s="453"/>
      <c r="I247" s="606"/>
      <c r="J247" s="521"/>
      <c r="K247" s="521"/>
      <c r="L247" s="521"/>
      <c r="M247" s="521"/>
      <c r="N247" s="521"/>
      <c r="O247" s="521"/>
      <c r="P247" s="521"/>
    </row>
    <row r="248" spans="1:16" s="607" customFormat="1">
      <c r="A248" s="610"/>
      <c r="B248" s="610"/>
      <c r="C248" s="610"/>
      <c r="D248" s="610"/>
      <c r="E248" s="613"/>
      <c r="G248" s="612"/>
      <c r="H248" s="453"/>
      <c r="I248" s="606"/>
      <c r="J248" s="521"/>
      <c r="K248" s="521"/>
      <c r="L248" s="521"/>
      <c r="M248" s="521"/>
      <c r="N248" s="521"/>
      <c r="O248" s="521"/>
      <c r="P248" s="521"/>
    </row>
    <row r="249" spans="1:16" s="607" customFormat="1">
      <c r="A249" s="610"/>
      <c r="B249" s="610"/>
      <c r="C249" s="610"/>
      <c r="D249" s="610"/>
      <c r="E249" s="613"/>
      <c r="G249" s="612"/>
      <c r="H249" s="453"/>
      <c r="I249" s="606"/>
      <c r="J249" s="521"/>
      <c r="K249" s="521"/>
      <c r="L249" s="521"/>
      <c r="M249" s="521"/>
      <c r="N249" s="521"/>
      <c r="O249" s="521"/>
      <c r="P249" s="521"/>
    </row>
    <row r="250" spans="1:16" s="607" customFormat="1">
      <c r="A250" s="610"/>
      <c r="B250" s="610"/>
      <c r="C250" s="610"/>
      <c r="D250" s="610"/>
      <c r="E250" s="613"/>
      <c r="G250" s="612"/>
      <c r="H250" s="453"/>
      <c r="I250" s="606"/>
      <c r="J250" s="521"/>
      <c r="K250" s="521"/>
      <c r="L250" s="521"/>
      <c r="M250" s="521"/>
      <c r="N250" s="521"/>
      <c r="O250" s="521"/>
      <c r="P250" s="521"/>
    </row>
    <row r="251" spans="1:16" s="607" customFormat="1">
      <c r="A251" s="610"/>
      <c r="B251" s="610"/>
      <c r="C251" s="610"/>
      <c r="D251" s="610"/>
      <c r="E251" s="613"/>
      <c r="G251" s="612"/>
      <c r="H251" s="453"/>
      <c r="I251" s="606"/>
      <c r="J251" s="521"/>
      <c r="K251" s="521"/>
      <c r="L251" s="521"/>
      <c r="M251" s="521"/>
      <c r="N251" s="521"/>
      <c r="O251" s="521"/>
      <c r="P251" s="521"/>
    </row>
    <row r="252" spans="1:16" s="607" customFormat="1">
      <c r="A252" s="610"/>
      <c r="B252" s="610"/>
      <c r="C252" s="610"/>
      <c r="D252" s="610"/>
      <c r="E252" s="613"/>
      <c r="G252" s="612"/>
      <c r="H252" s="453"/>
      <c r="I252" s="606"/>
      <c r="J252" s="521"/>
      <c r="K252" s="521"/>
      <c r="L252" s="521"/>
      <c r="M252" s="521"/>
      <c r="N252" s="521"/>
      <c r="O252" s="521"/>
      <c r="P252" s="521"/>
    </row>
    <row r="253" spans="1:16" s="607" customFormat="1">
      <c r="A253" s="610"/>
      <c r="B253" s="610"/>
      <c r="C253" s="610"/>
      <c r="D253" s="610"/>
      <c r="E253" s="613"/>
      <c r="G253" s="612"/>
      <c r="H253" s="453"/>
      <c r="I253" s="606"/>
      <c r="J253" s="521"/>
      <c r="K253" s="521"/>
      <c r="L253" s="521"/>
      <c r="M253" s="521"/>
      <c r="N253" s="521"/>
      <c r="O253" s="521"/>
      <c r="P253" s="521"/>
    </row>
    <row r="254" spans="1:16" s="607" customFormat="1">
      <c r="A254" s="610"/>
      <c r="B254" s="610"/>
      <c r="C254" s="610"/>
      <c r="D254" s="610"/>
      <c r="E254" s="613"/>
      <c r="G254" s="612"/>
      <c r="H254" s="453"/>
      <c r="I254" s="606"/>
      <c r="J254" s="521"/>
      <c r="K254" s="521"/>
      <c r="L254" s="521"/>
      <c r="M254" s="521"/>
      <c r="N254" s="521"/>
      <c r="O254" s="521"/>
      <c r="P254" s="521"/>
    </row>
    <row r="255" spans="1:16" s="607" customFormat="1">
      <c r="A255" s="610"/>
      <c r="B255" s="610"/>
      <c r="C255" s="610"/>
      <c r="D255" s="610"/>
      <c r="E255" s="613"/>
      <c r="G255" s="612"/>
      <c r="H255" s="453"/>
      <c r="I255" s="606"/>
      <c r="J255" s="521"/>
      <c r="K255" s="521"/>
      <c r="L255" s="521"/>
      <c r="M255" s="521"/>
      <c r="N255" s="521"/>
      <c r="O255" s="521"/>
      <c r="P255" s="521"/>
    </row>
    <row r="256" spans="1:16" s="607" customFormat="1">
      <c r="A256" s="610"/>
      <c r="B256" s="610"/>
      <c r="C256" s="610"/>
      <c r="D256" s="610"/>
      <c r="E256" s="613"/>
      <c r="G256" s="612"/>
      <c r="H256" s="453"/>
      <c r="I256" s="606"/>
      <c r="J256" s="521"/>
      <c r="K256" s="521"/>
      <c r="L256" s="521"/>
      <c r="M256" s="521"/>
      <c r="N256" s="521"/>
      <c r="O256" s="521"/>
      <c r="P256" s="521"/>
    </row>
    <row r="257" spans="1:16" s="607" customFormat="1">
      <c r="A257" s="610"/>
      <c r="B257" s="610"/>
      <c r="C257" s="610"/>
      <c r="D257" s="610"/>
      <c r="E257" s="613"/>
      <c r="G257" s="612"/>
      <c r="H257" s="453"/>
      <c r="I257" s="606"/>
      <c r="J257" s="521"/>
      <c r="K257" s="521"/>
      <c r="L257" s="521"/>
      <c r="M257" s="521"/>
      <c r="N257" s="521"/>
      <c r="O257" s="521"/>
      <c r="P257" s="521"/>
    </row>
    <row r="258" spans="1:16" s="607" customFormat="1">
      <c r="A258" s="610"/>
      <c r="B258" s="610"/>
      <c r="C258" s="610"/>
      <c r="D258" s="610"/>
      <c r="E258" s="613"/>
      <c r="G258" s="612"/>
      <c r="H258" s="453"/>
      <c r="I258" s="606"/>
      <c r="J258" s="521"/>
      <c r="K258" s="521"/>
      <c r="L258" s="521"/>
      <c r="M258" s="521"/>
      <c r="N258" s="521"/>
      <c r="O258" s="521"/>
      <c r="P258" s="521"/>
    </row>
    <row r="259" spans="1:16" s="607" customFormat="1">
      <c r="A259" s="610"/>
      <c r="B259" s="610"/>
      <c r="C259" s="610"/>
      <c r="D259" s="610"/>
      <c r="E259" s="613"/>
      <c r="G259" s="612"/>
      <c r="H259" s="453"/>
      <c r="I259" s="606"/>
      <c r="J259" s="521"/>
      <c r="K259" s="521"/>
      <c r="L259" s="521"/>
      <c r="M259" s="521"/>
      <c r="N259" s="521"/>
      <c r="O259" s="521"/>
      <c r="P259" s="521"/>
    </row>
    <row r="260" spans="1:16" s="607" customFormat="1">
      <c r="A260" s="610"/>
      <c r="B260" s="610"/>
      <c r="C260" s="610"/>
      <c r="D260" s="610"/>
      <c r="E260" s="613"/>
      <c r="G260" s="612"/>
      <c r="H260" s="453"/>
      <c r="I260" s="606"/>
      <c r="J260" s="521"/>
      <c r="K260" s="521"/>
      <c r="L260" s="521"/>
      <c r="M260" s="521"/>
      <c r="N260" s="521"/>
      <c r="O260" s="521"/>
      <c r="P260" s="521"/>
    </row>
    <row r="261" spans="1:16" s="607" customFormat="1">
      <c r="A261" s="610"/>
      <c r="B261" s="610"/>
      <c r="C261" s="610"/>
      <c r="D261" s="610"/>
      <c r="E261" s="613"/>
      <c r="G261" s="612"/>
      <c r="H261" s="453"/>
      <c r="I261" s="606"/>
      <c r="J261" s="521"/>
      <c r="K261" s="521"/>
      <c r="L261" s="521"/>
      <c r="M261" s="521"/>
      <c r="N261" s="521"/>
      <c r="O261" s="521"/>
      <c r="P261" s="521"/>
    </row>
    <row r="262" spans="1:16" s="607" customFormat="1">
      <c r="A262" s="610"/>
      <c r="B262" s="610"/>
      <c r="C262" s="610"/>
      <c r="D262" s="610"/>
      <c r="E262" s="613"/>
      <c r="G262" s="612"/>
      <c r="H262" s="453"/>
      <c r="I262" s="606"/>
      <c r="J262" s="521"/>
      <c r="K262" s="521"/>
      <c r="L262" s="521"/>
      <c r="M262" s="521"/>
      <c r="N262" s="521"/>
      <c r="O262" s="521"/>
      <c r="P262" s="521"/>
    </row>
    <row r="263" spans="1:16" s="607" customFormat="1">
      <c r="A263" s="610"/>
      <c r="B263" s="610"/>
      <c r="C263" s="610"/>
      <c r="D263" s="610"/>
      <c r="E263" s="613"/>
      <c r="G263" s="612"/>
      <c r="H263" s="453"/>
      <c r="I263" s="606"/>
      <c r="J263" s="521"/>
      <c r="K263" s="521"/>
      <c r="L263" s="521"/>
      <c r="M263" s="521"/>
      <c r="N263" s="521"/>
      <c r="O263" s="521"/>
      <c r="P263" s="521"/>
    </row>
    <row r="264" spans="1:16" s="607" customFormat="1">
      <c r="A264" s="610"/>
      <c r="B264" s="610"/>
      <c r="C264" s="610"/>
      <c r="D264" s="610"/>
      <c r="E264" s="613"/>
      <c r="G264" s="612"/>
      <c r="H264" s="453"/>
      <c r="I264" s="606"/>
      <c r="J264" s="521"/>
      <c r="K264" s="521"/>
      <c r="L264" s="521"/>
      <c r="M264" s="521"/>
      <c r="N264" s="521"/>
      <c r="O264" s="521"/>
      <c r="P264" s="521"/>
    </row>
    <row r="265" spans="1:16" s="607" customFormat="1">
      <c r="A265" s="610"/>
      <c r="B265" s="610"/>
      <c r="C265" s="610"/>
      <c r="D265" s="610"/>
      <c r="E265" s="613"/>
      <c r="G265" s="612"/>
      <c r="H265" s="453"/>
      <c r="I265" s="606"/>
      <c r="J265" s="521"/>
      <c r="K265" s="521"/>
      <c r="L265" s="521"/>
      <c r="M265" s="521"/>
      <c r="N265" s="521"/>
      <c r="O265" s="521"/>
      <c r="P265" s="521"/>
    </row>
    <row r="266" spans="1:16" s="607" customFormat="1">
      <c r="A266" s="610"/>
      <c r="B266" s="610"/>
      <c r="C266" s="610"/>
      <c r="D266" s="610"/>
      <c r="E266" s="613"/>
      <c r="G266" s="612"/>
      <c r="H266" s="453"/>
      <c r="I266" s="606"/>
      <c r="J266" s="521"/>
      <c r="K266" s="521"/>
      <c r="L266" s="521"/>
      <c r="M266" s="521"/>
      <c r="N266" s="521"/>
      <c r="O266" s="521"/>
      <c r="P266" s="521"/>
    </row>
    <row r="267" spans="1:16" s="607" customFormat="1">
      <c r="A267" s="610"/>
      <c r="B267" s="610"/>
      <c r="C267" s="610"/>
      <c r="D267" s="610"/>
      <c r="E267" s="613"/>
      <c r="G267" s="612"/>
      <c r="H267" s="453"/>
      <c r="I267" s="606"/>
      <c r="J267" s="521"/>
      <c r="K267" s="521"/>
      <c r="L267" s="521"/>
      <c r="M267" s="521"/>
      <c r="N267" s="521"/>
      <c r="O267" s="521"/>
      <c r="P267" s="521"/>
    </row>
    <row r="268" spans="1:16" s="607" customFormat="1">
      <c r="A268" s="610"/>
      <c r="B268" s="610"/>
      <c r="C268" s="610"/>
      <c r="D268" s="610"/>
      <c r="E268" s="613"/>
      <c r="G268" s="612"/>
      <c r="H268" s="453"/>
      <c r="I268" s="606"/>
      <c r="J268" s="521"/>
      <c r="K268" s="521"/>
      <c r="L268" s="521"/>
      <c r="M268" s="521"/>
      <c r="N268" s="521"/>
      <c r="O268" s="521"/>
      <c r="P268" s="521"/>
    </row>
    <row r="269" spans="1:16" s="607" customFormat="1">
      <c r="A269" s="610"/>
      <c r="B269" s="610"/>
      <c r="C269" s="610"/>
      <c r="D269" s="610"/>
      <c r="E269" s="613"/>
      <c r="G269" s="612"/>
      <c r="H269" s="453"/>
      <c r="I269" s="606"/>
      <c r="J269" s="521"/>
      <c r="K269" s="521"/>
      <c r="L269" s="521"/>
      <c r="M269" s="521"/>
      <c r="N269" s="521"/>
      <c r="O269" s="521"/>
      <c r="P269" s="521"/>
    </row>
    <row r="270" spans="1:16" s="607" customFormat="1">
      <c r="A270" s="610"/>
      <c r="B270" s="610"/>
      <c r="C270" s="610"/>
      <c r="D270" s="610"/>
      <c r="E270" s="613"/>
      <c r="G270" s="612"/>
      <c r="H270" s="453"/>
      <c r="I270" s="606"/>
      <c r="J270" s="521"/>
      <c r="K270" s="521"/>
      <c r="L270" s="521"/>
      <c r="M270" s="521"/>
      <c r="N270" s="521"/>
      <c r="O270" s="521"/>
      <c r="P270" s="521"/>
    </row>
    <row r="271" spans="1:16" s="607" customFormat="1">
      <c r="A271" s="610"/>
      <c r="B271" s="610"/>
      <c r="C271" s="610"/>
      <c r="D271" s="610"/>
      <c r="E271" s="613"/>
      <c r="G271" s="612"/>
      <c r="H271" s="453"/>
      <c r="I271" s="606"/>
      <c r="J271" s="521"/>
      <c r="K271" s="521"/>
      <c r="L271" s="521"/>
      <c r="M271" s="521"/>
      <c r="N271" s="521"/>
      <c r="O271" s="521"/>
      <c r="P271" s="521"/>
    </row>
    <row r="272" spans="1:16" s="607" customFormat="1">
      <c r="A272" s="610"/>
      <c r="B272" s="610"/>
      <c r="C272" s="610"/>
      <c r="D272" s="610"/>
      <c r="E272" s="613"/>
      <c r="G272" s="612"/>
      <c r="H272" s="453"/>
      <c r="I272" s="606"/>
      <c r="J272" s="521"/>
      <c r="K272" s="521"/>
      <c r="L272" s="521"/>
      <c r="M272" s="521"/>
      <c r="N272" s="521"/>
      <c r="O272" s="521"/>
      <c r="P272" s="521"/>
    </row>
    <row r="273" spans="1:16" s="607" customFormat="1">
      <c r="A273" s="610"/>
      <c r="B273" s="610"/>
      <c r="C273" s="610"/>
      <c r="D273" s="610"/>
      <c r="E273" s="613"/>
      <c r="G273" s="612"/>
      <c r="H273" s="453"/>
      <c r="I273" s="606"/>
      <c r="J273" s="521"/>
      <c r="K273" s="521"/>
      <c r="L273" s="521"/>
      <c r="M273" s="521"/>
      <c r="N273" s="521"/>
      <c r="O273" s="521"/>
      <c r="P273" s="521"/>
    </row>
    <row r="274" spans="1:16" s="607" customFormat="1">
      <c r="A274" s="610"/>
      <c r="B274" s="610"/>
      <c r="C274" s="610"/>
      <c r="D274" s="610"/>
      <c r="E274" s="613"/>
      <c r="G274" s="612"/>
      <c r="H274" s="453"/>
      <c r="I274" s="606"/>
      <c r="J274" s="521"/>
      <c r="K274" s="521"/>
      <c r="L274" s="521"/>
      <c r="M274" s="521"/>
      <c r="N274" s="521"/>
      <c r="O274" s="521"/>
      <c r="P274" s="521"/>
    </row>
    <row r="275" spans="1:16" s="607" customFormat="1">
      <c r="A275" s="610"/>
      <c r="B275" s="610"/>
      <c r="C275" s="610"/>
      <c r="D275" s="610"/>
      <c r="E275" s="613"/>
      <c r="G275" s="612"/>
      <c r="H275" s="453"/>
      <c r="I275" s="606"/>
      <c r="J275" s="521"/>
      <c r="K275" s="521"/>
      <c r="L275" s="521"/>
      <c r="M275" s="521"/>
      <c r="N275" s="521"/>
      <c r="O275" s="521"/>
      <c r="P275" s="521"/>
    </row>
    <row r="276" spans="1:16" s="607" customFormat="1">
      <c r="A276" s="610"/>
      <c r="B276" s="610"/>
      <c r="C276" s="610"/>
      <c r="D276" s="610"/>
      <c r="E276" s="613"/>
      <c r="G276" s="612"/>
      <c r="H276" s="453"/>
      <c r="I276" s="606"/>
      <c r="J276" s="521"/>
      <c r="K276" s="521"/>
      <c r="L276" s="521"/>
      <c r="M276" s="521"/>
      <c r="N276" s="521"/>
      <c r="O276" s="521"/>
      <c r="P276" s="521"/>
    </row>
    <row r="277" spans="1:16" s="607" customFormat="1">
      <c r="A277" s="610"/>
      <c r="B277" s="610"/>
      <c r="C277" s="610"/>
      <c r="D277" s="610"/>
      <c r="E277" s="613"/>
      <c r="G277" s="612"/>
      <c r="H277" s="453"/>
      <c r="I277" s="606"/>
      <c r="J277" s="521"/>
      <c r="K277" s="521"/>
      <c r="L277" s="521"/>
      <c r="M277" s="521"/>
      <c r="N277" s="521"/>
      <c r="O277" s="521"/>
      <c r="P277" s="521"/>
    </row>
    <row r="278" spans="1:16" s="607" customFormat="1">
      <c r="A278" s="610"/>
      <c r="B278" s="610"/>
      <c r="C278" s="610"/>
      <c r="D278" s="610"/>
      <c r="E278" s="613"/>
      <c r="G278" s="612"/>
      <c r="H278" s="453"/>
      <c r="I278" s="606"/>
      <c r="J278" s="521"/>
      <c r="K278" s="521"/>
      <c r="L278" s="521"/>
      <c r="M278" s="521"/>
      <c r="N278" s="521"/>
      <c r="O278" s="521"/>
      <c r="P278" s="521"/>
    </row>
    <row r="279" spans="1:16" s="607" customFormat="1">
      <c r="A279" s="610"/>
      <c r="B279" s="610"/>
      <c r="C279" s="610"/>
      <c r="D279" s="610"/>
      <c r="E279" s="613"/>
      <c r="G279" s="612"/>
      <c r="H279" s="453"/>
      <c r="I279" s="606"/>
      <c r="J279" s="521"/>
      <c r="K279" s="521"/>
      <c r="L279" s="521"/>
      <c r="M279" s="521"/>
      <c r="N279" s="521"/>
      <c r="O279" s="521"/>
      <c r="P279" s="521"/>
    </row>
    <row r="280" spans="1:16" s="607" customFormat="1">
      <c r="A280" s="610"/>
      <c r="B280" s="610"/>
      <c r="C280" s="610"/>
      <c r="D280" s="610"/>
      <c r="E280" s="613"/>
      <c r="G280" s="612"/>
      <c r="H280" s="453"/>
      <c r="I280" s="606"/>
      <c r="J280" s="521"/>
      <c r="K280" s="521"/>
      <c r="L280" s="521"/>
      <c r="M280" s="521"/>
      <c r="N280" s="521"/>
      <c r="O280" s="521"/>
      <c r="P280" s="521"/>
    </row>
    <row r="281" spans="1:16" s="607" customFormat="1">
      <c r="A281" s="610"/>
      <c r="B281" s="610"/>
      <c r="C281" s="610"/>
      <c r="D281" s="610"/>
      <c r="E281" s="613"/>
      <c r="G281" s="612"/>
      <c r="H281" s="453"/>
      <c r="I281" s="606"/>
      <c r="J281" s="521"/>
      <c r="K281" s="521"/>
      <c r="L281" s="521"/>
      <c r="M281" s="521"/>
      <c r="N281" s="521"/>
      <c r="O281" s="521"/>
      <c r="P281" s="521"/>
    </row>
    <row r="282" spans="1:16" s="607" customFormat="1">
      <c r="A282" s="610"/>
      <c r="B282" s="610"/>
      <c r="C282" s="610"/>
      <c r="D282" s="610"/>
      <c r="E282" s="613"/>
      <c r="G282" s="612"/>
      <c r="H282" s="453"/>
      <c r="I282" s="606"/>
      <c r="J282" s="521"/>
      <c r="K282" s="521"/>
      <c r="L282" s="521"/>
      <c r="M282" s="521"/>
      <c r="N282" s="521"/>
      <c r="O282" s="521"/>
      <c r="P282" s="521"/>
    </row>
    <row r="283" spans="1:16" s="607" customFormat="1">
      <c r="A283" s="610"/>
      <c r="B283" s="610"/>
      <c r="C283" s="610"/>
      <c r="D283" s="610"/>
      <c r="E283" s="613"/>
      <c r="G283" s="612"/>
      <c r="H283" s="453"/>
      <c r="I283" s="606"/>
      <c r="J283" s="521"/>
      <c r="K283" s="521"/>
      <c r="L283" s="521"/>
      <c r="M283" s="521"/>
      <c r="N283" s="521"/>
      <c r="O283" s="521"/>
      <c r="P283" s="521"/>
    </row>
    <row r="284" spans="1:16" s="607" customFormat="1">
      <c r="A284" s="610"/>
      <c r="B284" s="610"/>
      <c r="C284" s="610"/>
      <c r="D284" s="610"/>
      <c r="E284" s="613"/>
      <c r="G284" s="612"/>
      <c r="H284" s="453"/>
      <c r="I284" s="606"/>
      <c r="J284" s="521"/>
      <c r="K284" s="521"/>
      <c r="L284" s="521"/>
      <c r="M284" s="521"/>
      <c r="N284" s="521"/>
      <c r="O284" s="521"/>
      <c r="P284" s="521"/>
    </row>
    <row r="285" spans="1:16" s="607" customFormat="1">
      <c r="A285" s="610"/>
      <c r="B285" s="610"/>
      <c r="C285" s="610"/>
      <c r="D285" s="610"/>
      <c r="E285" s="613"/>
      <c r="G285" s="612"/>
      <c r="H285" s="453"/>
      <c r="I285" s="606"/>
      <c r="J285" s="521"/>
      <c r="K285" s="521"/>
      <c r="L285" s="521"/>
      <c r="M285" s="521"/>
      <c r="N285" s="521"/>
      <c r="O285" s="521"/>
      <c r="P285" s="521"/>
    </row>
    <row r="286" spans="1:16" s="607" customFormat="1">
      <c r="A286" s="610"/>
      <c r="B286" s="610"/>
      <c r="C286" s="610"/>
      <c r="D286" s="610"/>
      <c r="E286" s="613"/>
      <c r="G286" s="612"/>
      <c r="H286" s="453"/>
      <c r="I286" s="606"/>
      <c r="J286" s="521"/>
      <c r="K286" s="521"/>
      <c r="L286" s="521"/>
      <c r="M286" s="521"/>
      <c r="N286" s="521"/>
      <c r="O286" s="521"/>
      <c r="P286" s="521"/>
    </row>
    <row r="287" spans="1:16" s="607" customFormat="1">
      <c r="A287" s="610"/>
      <c r="B287" s="610"/>
      <c r="C287" s="610"/>
      <c r="D287" s="610"/>
      <c r="E287" s="613"/>
      <c r="G287" s="612"/>
      <c r="H287" s="453"/>
      <c r="I287" s="606"/>
      <c r="J287" s="521"/>
      <c r="K287" s="521"/>
      <c r="L287" s="521"/>
      <c r="M287" s="521"/>
      <c r="N287" s="521"/>
      <c r="O287" s="521"/>
      <c r="P287" s="521"/>
    </row>
    <row r="288" spans="1:16" s="607" customFormat="1">
      <c r="A288" s="610"/>
      <c r="B288" s="610"/>
      <c r="C288" s="610"/>
      <c r="D288" s="610"/>
      <c r="E288" s="613"/>
      <c r="G288" s="612"/>
      <c r="H288" s="453"/>
      <c r="I288" s="606"/>
      <c r="J288" s="521"/>
      <c r="K288" s="521"/>
      <c r="L288" s="521"/>
      <c r="M288" s="521"/>
      <c r="N288" s="521"/>
      <c r="O288" s="521"/>
      <c r="P288" s="521"/>
    </row>
    <row r="289" spans="1:16" s="607" customFormat="1">
      <c r="A289" s="610"/>
      <c r="B289" s="610"/>
      <c r="C289" s="610"/>
      <c r="D289" s="610"/>
      <c r="E289" s="613"/>
      <c r="G289" s="612"/>
      <c r="H289" s="453"/>
      <c r="I289" s="606"/>
      <c r="J289" s="521"/>
      <c r="K289" s="521"/>
      <c r="L289" s="521"/>
      <c r="M289" s="521"/>
      <c r="N289" s="521"/>
      <c r="O289" s="521"/>
      <c r="P289" s="521"/>
    </row>
    <row r="290" spans="1:16" s="607" customFormat="1">
      <c r="A290" s="610"/>
      <c r="B290" s="610"/>
      <c r="C290" s="610"/>
      <c r="D290" s="610"/>
      <c r="E290" s="613"/>
      <c r="G290" s="612"/>
      <c r="H290" s="453"/>
      <c r="I290" s="606"/>
      <c r="J290" s="521"/>
      <c r="K290" s="521"/>
      <c r="L290" s="521"/>
      <c r="M290" s="521"/>
      <c r="N290" s="521"/>
      <c r="O290" s="521"/>
      <c r="P290" s="521"/>
    </row>
    <row r="291" spans="1:16" s="607" customFormat="1">
      <c r="A291" s="610"/>
      <c r="B291" s="610"/>
      <c r="C291" s="610"/>
      <c r="D291" s="610"/>
      <c r="E291" s="613"/>
      <c r="G291" s="612"/>
      <c r="H291" s="453"/>
      <c r="I291" s="606"/>
      <c r="J291" s="521"/>
      <c r="K291" s="521"/>
      <c r="L291" s="521"/>
      <c r="M291" s="521"/>
      <c r="N291" s="521"/>
      <c r="O291" s="521"/>
      <c r="P291" s="521"/>
    </row>
    <row r="292" spans="1:16" s="607" customFormat="1">
      <c r="A292" s="610"/>
      <c r="B292" s="610"/>
      <c r="C292" s="610"/>
      <c r="D292" s="610"/>
      <c r="E292" s="613"/>
      <c r="G292" s="612"/>
      <c r="H292" s="453"/>
      <c r="I292" s="606"/>
      <c r="J292" s="521"/>
      <c r="K292" s="521"/>
      <c r="L292" s="521"/>
      <c r="M292" s="521"/>
      <c r="N292" s="521"/>
      <c r="O292" s="521"/>
      <c r="P292" s="521"/>
    </row>
    <row r="293" spans="1:16" s="607" customFormat="1">
      <c r="A293" s="610"/>
      <c r="B293" s="610"/>
      <c r="C293" s="610"/>
      <c r="D293" s="610"/>
      <c r="E293" s="613"/>
      <c r="G293" s="612"/>
      <c r="H293" s="453"/>
      <c r="I293" s="606"/>
      <c r="J293" s="521"/>
      <c r="K293" s="521"/>
      <c r="L293" s="521"/>
      <c r="M293" s="521"/>
      <c r="N293" s="521"/>
      <c r="O293" s="521"/>
      <c r="P293" s="521"/>
    </row>
    <row r="294" spans="1:16" s="607" customFormat="1">
      <c r="A294" s="610"/>
      <c r="B294" s="610"/>
      <c r="C294" s="610"/>
      <c r="D294" s="610"/>
      <c r="E294" s="613"/>
      <c r="G294" s="612"/>
      <c r="H294" s="453"/>
      <c r="I294" s="606"/>
      <c r="J294" s="521"/>
      <c r="K294" s="521"/>
      <c r="L294" s="521"/>
      <c r="M294" s="521"/>
      <c r="N294" s="521"/>
      <c r="O294" s="521"/>
      <c r="P294" s="521"/>
    </row>
    <row r="295" spans="1:16" s="607" customFormat="1">
      <c r="A295" s="610"/>
      <c r="B295" s="610"/>
      <c r="C295" s="610"/>
      <c r="D295" s="610"/>
      <c r="E295" s="613"/>
      <c r="G295" s="612"/>
      <c r="H295" s="453"/>
      <c r="I295" s="606"/>
      <c r="J295" s="521"/>
      <c r="K295" s="521"/>
      <c r="L295" s="521"/>
      <c r="M295" s="521"/>
      <c r="N295" s="521"/>
      <c r="O295" s="521"/>
      <c r="P295" s="521"/>
    </row>
    <row r="296" spans="1:16" s="607" customFormat="1">
      <c r="A296" s="610"/>
      <c r="B296" s="610"/>
      <c r="C296" s="610"/>
      <c r="D296" s="610"/>
      <c r="E296" s="613"/>
      <c r="G296" s="612"/>
      <c r="H296" s="453"/>
      <c r="I296" s="606"/>
      <c r="J296" s="521"/>
      <c r="K296" s="521"/>
      <c r="L296" s="521"/>
      <c r="M296" s="521"/>
      <c r="N296" s="521"/>
      <c r="O296" s="521"/>
      <c r="P296" s="521"/>
    </row>
    <row r="297" spans="1:16" s="607" customFormat="1">
      <c r="A297" s="610"/>
      <c r="B297" s="610"/>
      <c r="C297" s="610"/>
      <c r="D297" s="610"/>
      <c r="E297" s="613"/>
      <c r="G297" s="612"/>
      <c r="H297" s="453"/>
      <c r="I297" s="606"/>
      <c r="J297" s="521"/>
      <c r="K297" s="521"/>
      <c r="L297" s="521"/>
      <c r="M297" s="521"/>
      <c r="N297" s="521"/>
      <c r="O297" s="521"/>
      <c r="P297" s="521"/>
    </row>
    <row r="298" spans="1:16" s="607" customFormat="1">
      <c r="A298" s="610"/>
      <c r="B298" s="610"/>
      <c r="C298" s="610"/>
      <c r="D298" s="610"/>
      <c r="E298" s="613"/>
      <c r="G298" s="612"/>
      <c r="H298" s="453"/>
      <c r="I298" s="606"/>
      <c r="J298" s="521"/>
      <c r="K298" s="521"/>
      <c r="L298" s="521"/>
      <c r="M298" s="521"/>
      <c r="N298" s="521"/>
      <c r="O298" s="521"/>
      <c r="P298" s="521"/>
    </row>
    <row r="299" spans="1:16" s="607" customFormat="1">
      <c r="A299" s="610"/>
      <c r="B299" s="610"/>
      <c r="C299" s="610"/>
      <c r="D299" s="610"/>
      <c r="E299" s="613"/>
      <c r="G299" s="612"/>
      <c r="H299" s="453"/>
      <c r="I299" s="606"/>
      <c r="J299" s="521"/>
      <c r="K299" s="521"/>
      <c r="L299" s="521"/>
      <c r="M299" s="521"/>
      <c r="N299" s="521"/>
      <c r="O299" s="521"/>
      <c r="P299" s="521"/>
    </row>
    <row r="300" spans="1:16" s="607" customFormat="1">
      <c r="A300" s="610"/>
      <c r="B300" s="610"/>
      <c r="C300" s="610"/>
      <c r="D300" s="610"/>
      <c r="E300" s="613"/>
      <c r="G300" s="612"/>
      <c r="H300" s="453"/>
      <c r="I300" s="606"/>
      <c r="J300" s="521"/>
      <c r="K300" s="521"/>
      <c r="L300" s="521"/>
      <c r="M300" s="521"/>
      <c r="N300" s="521"/>
      <c r="O300" s="521"/>
      <c r="P300" s="521"/>
    </row>
    <row r="301" spans="1:16" s="607" customFormat="1">
      <c r="A301" s="610"/>
      <c r="B301" s="610"/>
      <c r="C301" s="610"/>
      <c r="D301" s="610"/>
      <c r="E301" s="613"/>
      <c r="G301" s="612"/>
      <c r="H301" s="453"/>
      <c r="I301" s="606"/>
      <c r="J301" s="521"/>
      <c r="K301" s="521"/>
      <c r="L301" s="521"/>
      <c r="M301" s="521"/>
      <c r="N301" s="521"/>
      <c r="O301" s="521"/>
      <c r="P301" s="521"/>
    </row>
    <row r="302" spans="1:16" s="607" customFormat="1">
      <c r="A302" s="610"/>
      <c r="B302" s="610"/>
      <c r="C302" s="610"/>
      <c r="D302" s="610"/>
      <c r="E302" s="613"/>
      <c r="G302" s="612"/>
      <c r="H302" s="453"/>
      <c r="I302" s="606"/>
      <c r="J302" s="521"/>
      <c r="K302" s="521"/>
      <c r="L302" s="521"/>
      <c r="M302" s="521"/>
      <c r="N302" s="521"/>
      <c r="O302" s="521"/>
      <c r="P302" s="521"/>
    </row>
    <row r="303" spans="1:16" s="607" customFormat="1">
      <c r="A303" s="610"/>
      <c r="B303" s="610"/>
      <c r="C303" s="610"/>
      <c r="D303" s="610"/>
      <c r="E303" s="613"/>
      <c r="G303" s="612"/>
      <c r="H303" s="453"/>
      <c r="I303" s="606"/>
      <c r="J303" s="521"/>
      <c r="K303" s="521"/>
      <c r="L303" s="521"/>
      <c r="M303" s="521"/>
      <c r="N303" s="521"/>
      <c r="O303" s="521"/>
      <c r="P303" s="521"/>
    </row>
    <row r="304" spans="1:16" s="607" customFormat="1">
      <c r="A304" s="610"/>
      <c r="B304" s="610"/>
      <c r="C304" s="610"/>
      <c r="D304" s="610"/>
      <c r="E304" s="613"/>
      <c r="G304" s="612"/>
      <c r="H304" s="453"/>
      <c r="I304" s="606"/>
      <c r="J304" s="521"/>
      <c r="K304" s="521"/>
      <c r="L304" s="521"/>
      <c r="M304" s="521"/>
      <c r="N304" s="521"/>
      <c r="O304" s="521"/>
      <c r="P304" s="521"/>
    </row>
    <row r="305" spans="1:16" s="607" customFormat="1">
      <c r="A305" s="610"/>
      <c r="B305" s="610"/>
      <c r="C305" s="610"/>
      <c r="D305" s="610"/>
      <c r="E305" s="613"/>
      <c r="G305" s="612"/>
      <c r="H305" s="453"/>
      <c r="I305" s="606"/>
      <c r="J305" s="521"/>
      <c r="K305" s="521"/>
      <c r="L305" s="521"/>
      <c r="M305" s="521"/>
      <c r="N305" s="521"/>
      <c r="O305" s="521"/>
      <c r="P305" s="521"/>
    </row>
    <row r="306" spans="1:16" s="607" customFormat="1">
      <c r="A306" s="610"/>
      <c r="B306" s="610"/>
      <c r="C306" s="610"/>
      <c r="D306" s="610"/>
      <c r="E306" s="613"/>
      <c r="G306" s="612"/>
      <c r="H306" s="453"/>
      <c r="I306" s="606"/>
      <c r="J306" s="521"/>
      <c r="K306" s="521"/>
      <c r="L306" s="521"/>
      <c r="M306" s="521"/>
      <c r="N306" s="521"/>
      <c r="O306" s="521"/>
      <c r="P306" s="521"/>
    </row>
    <row r="307" spans="1:16" s="607" customFormat="1">
      <c r="A307" s="610"/>
      <c r="B307" s="610"/>
      <c r="C307" s="610"/>
      <c r="D307" s="610"/>
      <c r="E307" s="613"/>
      <c r="G307" s="612"/>
      <c r="H307" s="453"/>
      <c r="I307" s="606"/>
      <c r="J307" s="521"/>
      <c r="K307" s="521"/>
      <c r="L307" s="521"/>
      <c r="M307" s="521"/>
      <c r="N307" s="521"/>
      <c r="O307" s="521"/>
      <c r="P307" s="521"/>
    </row>
    <row r="308" spans="1:16" s="607" customFormat="1">
      <c r="A308" s="610"/>
      <c r="B308" s="610"/>
      <c r="C308" s="610"/>
      <c r="D308" s="610"/>
      <c r="E308" s="613"/>
      <c r="G308" s="612"/>
      <c r="H308" s="453"/>
      <c r="I308" s="606"/>
      <c r="J308" s="521"/>
      <c r="K308" s="521"/>
      <c r="L308" s="521"/>
      <c r="M308" s="521"/>
      <c r="N308" s="521"/>
      <c r="O308" s="521"/>
      <c r="P308" s="521"/>
    </row>
    <row r="309" spans="1:16" s="607" customFormat="1">
      <c r="A309" s="610"/>
      <c r="B309" s="610"/>
      <c r="C309" s="610"/>
      <c r="D309" s="610"/>
      <c r="E309" s="613"/>
      <c r="G309" s="612"/>
      <c r="H309" s="453"/>
      <c r="I309" s="606"/>
      <c r="J309" s="521"/>
      <c r="K309" s="521"/>
      <c r="L309" s="521"/>
      <c r="M309" s="521"/>
      <c r="N309" s="521"/>
      <c r="O309" s="521"/>
      <c r="P309" s="521"/>
    </row>
    <row r="310" spans="1:16" s="607" customFormat="1">
      <c r="A310" s="610"/>
      <c r="B310" s="610"/>
      <c r="C310" s="610"/>
      <c r="D310" s="610"/>
      <c r="E310" s="613"/>
      <c r="G310" s="612"/>
      <c r="H310" s="453"/>
      <c r="I310" s="606"/>
      <c r="J310" s="521"/>
      <c r="K310" s="521"/>
      <c r="L310" s="521"/>
      <c r="M310" s="521"/>
      <c r="N310" s="521"/>
      <c r="O310" s="521"/>
      <c r="P310" s="521"/>
    </row>
    <row r="311" spans="1:16" s="607" customFormat="1">
      <c r="A311" s="610"/>
      <c r="B311" s="610"/>
      <c r="C311" s="610"/>
      <c r="D311" s="610"/>
      <c r="E311" s="613"/>
      <c r="G311" s="612"/>
      <c r="H311" s="453"/>
      <c r="I311" s="606"/>
      <c r="J311" s="521"/>
      <c r="K311" s="521"/>
      <c r="L311" s="521"/>
      <c r="M311" s="521"/>
      <c r="N311" s="521"/>
      <c r="O311" s="521"/>
      <c r="P311" s="521"/>
    </row>
    <row r="312" spans="1:16" s="607" customFormat="1">
      <c r="A312" s="610"/>
      <c r="B312" s="610"/>
      <c r="C312" s="610"/>
      <c r="D312" s="610"/>
      <c r="E312" s="613"/>
      <c r="G312" s="612"/>
      <c r="H312" s="453"/>
      <c r="I312" s="606"/>
      <c r="J312" s="521"/>
      <c r="K312" s="521"/>
      <c r="L312" s="521"/>
      <c r="M312" s="521"/>
      <c r="N312" s="521"/>
      <c r="O312" s="521"/>
      <c r="P312" s="521"/>
    </row>
    <row r="313" spans="1:16" s="607" customFormat="1">
      <c r="A313" s="610"/>
      <c r="B313" s="610"/>
      <c r="C313" s="610"/>
      <c r="D313" s="610"/>
      <c r="E313" s="613"/>
      <c r="G313" s="612"/>
      <c r="H313" s="453"/>
      <c r="I313" s="606"/>
      <c r="J313" s="521"/>
      <c r="K313" s="521"/>
      <c r="L313" s="521"/>
      <c r="M313" s="521"/>
      <c r="N313" s="521"/>
      <c r="O313" s="521"/>
      <c r="P313" s="521"/>
    </row>
    <row r="314" spans="1:16" s="607" customFormat="1">
      <c r="A314" s="610"/>
      <c r="B314" s="610"/>
      <c r="C314" s="610"/>
      <c r="D314" s="610"/>
      <c r="E314" s="613"/>
      <c r="G314" s="612"/>
      <c r="H314" s="453"/>
      <c r="I314" s="606"/>
      <c r="J314" s="521"/>
      <c r="K314" s="521"/>
      <c r="L314" s="521"/>
      <c r="M314" s="521"/>
      <c r="N314" s="521"/>
      <c r="O314" s="521"/>
      <c r="P314" s="521"/>
    </row>
    <row r="315" spans="1:16" s="607" customFormat="1">
      <c r="A315" s="610"/>
      <c r="B315" s="610"/>
      <c r="C315" s="610"/>
      <c r="D315" s="610"/>
      <c r="E315" s="613"/>
      <c r="G315" s="612"/>
      <c r="H315" s="453"/>
      <c r="I315" s="606"/>
      <c r="J315" s="521"/>
      <c r="K315" s="521"/>
      <c r="L315" s="521"/>
      <c r="M315" s="521"/>
      <c r="N315" s="521"/>
      <c r="O315" s="521"/>
      <c r="P315" s="521"/>
    </row>
    <row r="316" spans="1:16" s="607" customFormat="1">
      <c r="A316" s="610"/>
      <c r="B316" s="610"/>
      <c r="C316" s="610"/>
      <c r="D316" s="610"/>
      <c r="E316" s="613"/>
      <c r="G316" s="612"/>
      <c r="H316" s="453"/>
      <c r="I316" s="606"/>
      <c r="J316" s="521"/>
      <c r="K316" s="521"/>
      <c r="L316" s="521"/>
      <c r="M316" s="521"/>
      <c r="N316" s="521"/>
      <c r="O316" s="521"/>
      <c r="P316" s="521"/>
    </row>
    <row r="317" spans="1:16" s="607" customFormat="1">
      <c r="A317" s="610"/>
      <c r="B317" s="610"/>
      <c r="C317" s="610"/>
      <c r="D317" s="610"/>
      <c r="E317" s="613"/>
      <c r="G317" s="612"/>
      <c r="H317" s="453"/>
      <c r="I317" s="606"/>
      <c r="J317" s="521"/>
      <c r="K317" s="521"/>
      <c r="L317" s="521"/>
      <c r="M317" s="521"/>
      <c r="N317" s="521"/>
      <c r="O317" s="521"/>
      <c r="P317" s="521"/>
    </row>
    <row r="318" spans="1:16" s="607" customFormat="1">
      <c r="A318" s="610"/>
      <c r="B318" s="610"/>
      <c r="C318" s="610"/>
      <c r="D318" s="610"/>
      <c r="E318" s="613"/>
      <c r="G318" s="612"/>
      <c r="H318" s="453"/>
      <c r="I318" s="606"/>
      <c r="J318" s="521"/>
      <c r="K318" s="521"/>
      <c r="L318" s="521"/>
      <c r="M318" s="521"/>
      <c r="N318" s="521"/>
      <c r="O318" s="521"/>
      <c r="P318" s="521"/>
    </row>
    <row r="319" spans="1:16" s="607" customFormat="1">
      <c r="A319" s="610"/>
      <c r="B319" s="610"/>
      <c r="C319" s="610"/>
      <c r="D319" s="610"/>
      <c r="E319" s="613"/>
      <c r="G319" s="612"/>
      <c r="H319" s="453"/>
      <c r="I319" s="606"/>
      <c r="J319" s="521"/>
      <c r="K319" s="521"/>
      <c r="L319" s="521"/>
      <c r="M319" s="521"/>
      <c r="N319" s="521"/>
      <c r="O319" s="521"/>
      <c r="P319" s="521"/>
    </row>
    <row r="320" spans="1:16" s="607" customFormat="1">
      <c r="A320" s="610"/>
      <c r="B320" s="610"/>
      <c r="C320" s="610"/>
      <c r="D320" s="610"/>
      <c r="E320" s="613"/>
      <c r="G320" s="612"/>
      <c r="H320" s="453"/>
      <c r="I320" s="606"/>
      <c r="J320" s="521"/>
      <c r="K320" s="521"/>
      <c r="L320" s="521"/>
      <c r="M320" s="521"/>
      <c r="N320" s="521"/>
      <c r="O320" s="521"/>
      <c r="P320" s="521"/>
    </row>
    <row r="321" spans="1:16" s="607" customFormat="1">
      <c r="A321" s="610"/>
      <c r="B321" s="610"/>
      <c r="C321" s="610"/>
      <c r="D321" s="610"/>
      <c r="E321" s="613"/>
      <c r="G321" s="612"/>
      <c r="H321" s="453"/>
      <c r="I321" s="606"/>
      <c r="J321" s="521"/>
      <c r="K321" s="521"/>
      <c r="L321" s="521"/>
      <c r="M321" s="521"/>
      <c r="N321" s="521"/>
      <c r="O321" s="521"/>
      <c r="P321" s="521"/>
    </row>
    <row r="322" spans="1:16" s="607" customFormat="1">
      <c r="A322" s="610"/>
      <c r="B322" s="610"/>
      <c r="C322" s="610"/>
      <c r="D322" s="610"/>
      <c r="E322" s="613"/>
      <c r="G322" s="612"/>
      <c r="H322" s="453"/>
      <c r="I322" s="606"/>
      <c r="J322" s="521"/>
      <c r="K322" s="521"/>
      <c r="L322" s="521"/>
      <c r="M322" s="521"/>
      <c r="N322" s="521"/>
      <c r="O322" s="521"/>
      <c r="P322" s="521"/>
    </row>
    <row r="323" spans="1:16" s="607" customFormat="1">
      <c r="A323" s="610"/>
      <c r="B323" s="610"/>
      <c r="C323" s="610"/>
      <c r="D323" s="610"/>
      <c r="E323" s="613"/>
      <c r="G323" s="612"/>
      <c r="H323" s="453"/>
      <c r="I323" s="606"/>
      <c r="J323" s="521"/>
      <c r="K323" s="521"/>
      <c r="L323" s="521"/>
      <c r="M323" s="521"/>
      <c r="N323" s="521"/>
      <c r="O323" s="521"/>
      <c r="P323" s="521"/>
    </row>
    <row r="324" spans="1:16" s="607" customFormat="1">
      <c r="A324" s="610"/>
      <c r="B324" s="610"/>
      <c r="C324" s="610"/>
      <c r="D324" s="610"/>
      <c r="E324" s="613"/>
      <c r="G324" s="612"/>
      <c r="H324" s="453"/>
      <c r="I324" s="606"/>
      <c r="J324" s="521"/>
      <c r="K324" s="521"/>
      <c r="L324" s="521"/>
      <c r="M324" s="521"/>
      <c r="N324" s="521"/>
      <c r="O324" s="521"/>
      <c r="P324" s="521"/>
    </row>
    <row r="325" spans="1:16" s="607" customFormat="1">
      <c r="A325" s="610"/>
      <c r="B325" s="610"/>
      <c r="C325" s="610"/>
      <c r="D325" s="610"/>
      <c r="E325" s="613"/>
      <c r="G325" s="612"/>
      <c r="H325" s="453"/>
      <c r="I325" s="606"/>
      <c r="J325" s="521"/>
      <c r="K325" s="521"/>
      <c r="L325" s="521"/>
      <c r="M325" s="521"/>
      <c r="N325" s="521"/>
      <c r="O325" s="521"/>
      <c r="P325" s="521"/>
    </row>
    <row r="326" spans="1:16" s="607" customFormat="1">
      <c r="A326" s="610"/>
      <c r="B326" s="610"/>
      <c r="C326" s="610"/>
      <c r="D326" s="610"/>
      <c r="E326" s="613"/>
      <c r="G326" s="612"/>
      <c r="H326" s="453"/>
      <c r="I326" s="606"/>
      <c r="J326" s="521"/>
      <c r="K326" s="521"/>
      <c r="L326" s="521"/>
      <c r="M326" s="521"/>
      <c r="N326" s="521"/>
      <c r="O326" s="521"/>
      <c r="P326" s="521"/>
    </row>
    <row r="327" spans="1:16" s="607" customFormat="1">
      <c r="A327" s="610"/>
      <c r="B327" s="610"/>
      <c r="C327" s="610"/>
      <c r="D327" s="610"/>
      <c r="E327" s="613"/>
      <c r="G327" s="612"/>
      <c r="H327" s="453"/>
      <c r="I327" s="606"/>
      <c r="J327" s="521"/>
      <c r="K327" s="521"/>
      <c r="L327" s="521"/>
      <c r="M327" s="521"/>
      <c r="N327" s="521"/>
      <c r="O327" s="521"/>
      <c r="P327" s="521"/>
    </row>
    <row r="328" spans="1:16" s="607" customFormat="1">
      <c r="A328" s="610"/>
      <c r="B328" s="610"/>
      <c r="C328" s="610"/>
      <c r="D328" s="610"/>
      <c r="E328" s="613"/>
      <c r="G328" s="612"/>
      <c r="H328" s="453"/>
      <c r="I328" s="606"/>
      <c r="J328" s="521"/>
      <c r="K328" s="521"/>
      <c r="L328" s="521"/>
      <c r="M328" s="521"/>
      <c r="N328" s="521"/>
      <c r="O328" s="521"/>
      <c r="P328" s="521"/>
    </row>
    <row r="329" spans="1:16" s="607" customFormat="1">
      <c r="A329" s="610"/>
      <c r="B329" s="610"/>
      <c r="C329" s="610"/>
      <c r="D329" s="610"/>
      <c r="E329" s="613"/>
      <c r="G329" s="612"/>
      <c r="H329" s="453"/>
      <c r="I329" s="606"/>
      <c r="J329" s="521"/>
      <c r="K329" s="521"/>
      <c r="L329" s="521"/>
      <c r="M329" s="521"/>
      <c r="N329" s="521"/>
      <c r="O329" s="521"/>
      <c r="P329" s="521"/>
    </row>
    <row r="330" spans="1:16" s="607" customFormat="1">
      <c r="A330" s="610"/>
      <c r="B330" s="610"/>
      <c r="C330" s="610"/>
      <c r="D330" s="610"/>
      <c r="E330" s="613"/>
      <c r="G330" s="612"/>
      <c r="H330" s="453"/>
      <c r="I330" s="606"/>
      <c r="J330" s="521"/>
      <c r="K330" s="521"/>
      <c r="L330" s="521"/>
      <c r="M330" s="521"/>
      <c r="N330" s="521"/>
      <c r="O330" s="521"/>
      <c r="P330" s="521"/>
    </row>
    <row r="331" spans="1:16" s="607" customFormat="1">
      <c r="A331" s="610"/>
      <c r="B331" s="610"/>
      <c r="C331" s="610"/>
      <c r="D331" s="610"/>
      <c r="E331" s="613"/>
      <c r="G331" s="612"/>
      <c r="H331" s="453"/>
      <c r="I331" s="606"/>
      <c r="J331" s="521"/>
      <c r="K331" s="521"/>
      <c r="L331" s="521"/>
      <c r="M331" s="521"/>
      <c r="N331" s="521"/>
      <c r="O331" s="521"/>
      <c r="P331" s="521"/>
    </row>
    <row r="332" spans="1:16" s="607" customFormat="1">
      <c r="A332" s="610"/>
      <c r="B332" s="610"/>
      <c r="C332" s="610"/>
      <c r="D332" s="610"/>
      <c r="E332" s="613"/>
      <c r="G332" s="612"/>
      <c r="H332" s="453"/>
      <c r="I332" s="606"/>
      <c r="J332" s="521"/>
      <c r="K332" s="521"/>
      <c r="L332" s="521"/>
      <c r="M332" s="521"/>
      <c r="N332" s="521"/>
      <c r="O332" s="521"/>
      <c r="P332" s="521"/>
    </row>
    <row r="333" spans="1:16" s="607" customFormat="1">
      <c r="A333" s="610"/>
      <c r="B333" s="610"/>
      <c r="C333" s="610"/>
      <c r="D333" s="610"/>
      <c r="E333" s="613"/>
      <c r="G333" s="612"/>
      <c r="H333" s="453"/>
      <c r="I333" s="606"/>
      <c r="J333" s="521"/>
      <c r="K333" s="521"/>
      <c r="L333" s="521"/>
      <c r="M333" s="521"/>
      <c r="N333" s="521"/>
      <c r="O333" s="521"/>
      <c r="P333" s="521"/>
    </row>
    <row r="334" spans="1:16" s="607" customFormat="1">
      <c r="A334" s="610"/>
      <c r="B334" s="610"/>
      <c r="C334" s="610"/>
      <c r="D334" s="610"/>
      <c r="E334" s="613"/>
      <c r="G334" s="612"/>
      <c r="H334" s="453"/>
      <c r="I334" s="606"/>
      <c r="J334" s="521"/>
      <c r="K334" s="521"/>
      <c r="L334" s="521"/>
      <c r="M334" s="521"/>
      <c r="N334" s="521"/>
      <c r="O334" s="521"/>
      <c r="P334" s="521"/>
    </row>
    <row r="335" spans="1:16" s="607" customFormat="1">
      <c r="A335" s="610"/>
      <c r="B335" s="610"/>
      <c r="C335" s="610"/>
      <c r="D335" s="610"/>
      <c r="E335" s="613"/>
      <c r="G335" s="612"/>
      <c r="H335" s="453"/>
      <c r="I335" s="606"/>
      <c r="J335" s="521"/>
      <c r="K335" s="521"/>
      <c r="L335" s="521"/>
      <c r="M335" s="521"/>
      <c r="N335" s="521"/>
      <c r="O335" s="521"/>
      <c r="P335" s="521"/>
    </row>
    <row r="336" spans="1:16" s="607" customFormat="1">
      <c r="A336" s="610"/>
      <c r="B336" s="610"/>
      <c r="C336" s="610"/>
      <c r="D336" s="610"/>
      <c r="E336" s="613"/>
      <c r="G336" s="612"/>
      <c r="H336" s="453"/>
      <c r="I336" s="606"/>
      <c r="J336" s="521"/>
      <c r="K336" s="521"/>
      <c r="L336" s="521"/>
      <c r="M336" s="521"/>
      <c r="N336" s="521"/>
      <c r="O336" s="521"/>
      <c r="P336" s="521"/>
    </row>
    <row r="337" spans="1:16" s="607" customFormat="1">
      <c r="A337" s="610"/>
      <c r="B337" s="610"/>
      <c r="C337" s="610"/>
      <c r="D337" s="610"/>
      <c r="E337" s="613"/>
      <c r="G337" s="612"/>
      <c r="H337" s="453"/>
      <c r="I337" s="606"/>
      <c r="J337" s="521"/>
      <c r="K337" s="521"/>
      <c r="L337" s="521"/>
      <c r="M337" s="521"/>
      <c r="N337" s="521"/>
      <c r="O337" s="521"/>
      <c r="P337" s="521"/>
    </row>
    <row r="338" spans="1:16" s="607" customFormat="1">
      <c r="A338" s="610"/>
      <c r="B338" s="610"/>
      <c r="C338" s="610"/>
      <c r="D338" s="610"/>
      <c r="E338" s="613"/>
      <c r="G338" s="612"/>
      <c r="H338" s="453"/>
      <c r="I338" s="606"/>
      <c r="J338" s="521"/>
      <c r="K338" s="521"/>
      <c r="L338" s="521"/>
      <c r="M338" s="521"/>
      <c r="N338" s="521"/>
      <c r="O338" s="521"/>
      <c r="P338" s="521"/>
    </row>
    <row r="339" spans="1:16" s="607" customFormat="1">
      <c r="A339" s="610"/>
      <c r="B339" s="610"/>
      <c r="C339" s="610"/>
      <c r="D339" s="610"/>
      <c r="E339" s="613"/>
      <c r="G339" s="612"/>
      <c r="H339" s="453"/>
      <c r="I339" s="606"/>
      <c r="J339" s="521"/>
      <c r="K339" s="521"/>
      <c r="L339" s="521"/>
      <c r="M339" s="521"/>
      <c r="N339" s="521"/>
      <c r="O339" s="521"/>
      <c r="P339" s="521"/>
    </row>
    <row r="340" spans="1:16" s="607" customFormat="1">
      <c r="A340" s="610"/>
      <c r="B340" s="610"/>
      <c r="C340" s="610"/>
      <c r="D340" s="610"/>
      <c r="E340" s="613"/>
      <c r="G340" s="612"/>
      <c r="H340" s="453"/>
      <c r="I340" s="606"/>
      <c r="J340" s="521"/>
      <c r="K340" s="521"/>
      <c r="L340" s="521"/>
      <c r="M340" s="521"/>
      <c r="N340" s="521"/>
      <c r="O340" s="521"/>
      <c r="P340" s="521"/>
    </row>
    <row r="341" spans="1:16" s="607" customFormat="1">
      <c r="A341" s="610"/>
      <c r="B341" s="610"/>
      <c r="C341" s="610"/>
      <c r="D341" s="610"/>
      <c r="E341" s="613"/>
      <c r="G341" s="612"/>
      <c r="H341" s="453"/>
      <c r="I341" s="606"/>
      <c r="J341" s="521"/>
      <c r="K341" s="521"/>
      <c r="L341" s="521"/>
      <c r="M341" s="521"/>
      <c r="N341" s="521"/>
      <c r="O341" s="521"/>
      <c r="P341" s="521"/>
    </row>
    <row r="342" spans="1:16" s="607" customFormat="1">
      <c r="A342" s="610"/>
      <c r="B342" s="610"/>
      <c r="C342" s="610"/>
      <c r="D342" s="610"/>
      <c r="E342" s="613"/>
      <c r="G342" s="612"/>
      <c r="H342" s="453"/>
      <c r="I342" s="606"/>
      <c r="J342" s="521"/>
      <c r="K342" s="521"/>
      <c r="L342" s="521"/>
      <c r="M342" s="521"/>
      <c r="N342" s="521"/>
      <c r="O342" s="521"/>
      <c r="P342" s="521"/>
    </row>
    <row r="343" spans="1:16" s="607" customFormat="1">
      <c r="A343" s="610"/>
      <c r="B343" s="610"/>
      <c r="C343" s="610"/>
      <c r="D343" s="610"/>
      <c r="E343" s="613"/>
      <c r="G343" s="612"/>
      <c r="H343" s="453"/>
      <c r="I343" s="606"/>
      <c r="J343" s="521"/>
      <c r="K343" s="521"/>
      <c r="L343" s="521"/>
      <c r="M343" s="521"/>
      <c r="N343" s="521"/>
      <c r="O343" s="521"/>
      <c r="P343" s="521"/>
    </row>
    <row r="344" spans="1:16" s="607" customFormat="1">
      <c r="A344" s="610"/>
      <c r="B344" s="610"/>
      <c r="C344" s="610"/>
      <c r="D344" s="610"/>
      <c r="E344" s="613"/>
      <c r="G344" s="612"/>
      <c r="H344" s="453"/>
      <c r="I344" s="606"/>
      <c r="J344" s="521"/>
      <c r="K344" s="521"/>
      <c r="L344" s="521"/>
      <c r="M344" s="521"/>
      <c r="N344" s="521"/>
      <c r="O344" s="521"/>
      <c r="P344" s="521"/>
    </row>
    <row r="345" spans="1:16" s="607" customFormat="1">
      <c r="A345" s="610"/>
      <c r="B345" s="610"/>
      <c r="C345" s="610"/>
      <c r="D345" s="610"/>
      <c r="E345" s="613"/>
      <c r="G345" s="612"/>
      <c r="H345" s="453"/>
      <c r="I345" s="606"/>
      <c r="J345" s="521"/>
      <c r="K345" s="521"/>
      <c r="L345" s="521"/>
      <c r="M345" s="521"/>
      <c r="N345" s="521"/>
      <c r="O345" s="521"/>
      <c r="P345" s="521"/>
    </row>
    <row r="346" spans="1:16" s="607" customFormat="1">
      <c r="A346" s="610"/>
      <c r="B346" s="610"/>
      <c r="C346" s="610"/>
      <c r="D346" s="610"/>
      <c r="E346" s="613"/>
      <c r="G346" s="612"/>
      <c r="H346" s="453"/>
      <c r="I346" s="606"/>
      <c r="J346" s="521"/>
      <c r="K346" s="521"/>
      <c r="L346" s="521"/>
      <c r="M346" s="521"/>
      <c r="N346" s="521"/>
      <c r="O346" s="521"/>
      <c r="P346" s="521"/>
    </row>
    <row r="347" spans="1:16" s="607" customFormat="1">
      <c r="A347" s="610"/>
      <c r="B347" s="610"/>
      <c r="C347" s="610"/>
      <c r="D347" s="610"/>
      <c r="E347" s="613"/>
      <c r="G347" s="612"/>
      <c r="H347" s="453"/>
      <c r="I347" s="606"/>
      <c r="J347" s="521"/>
      <c r="K347" s="521"/>
      <c r="L347" s="521"/>
      <c r="M347" s="521"/>
      <c r="N347" s="521"/>
      <c r="O347" s="521"/>
      <c r="P347" s="521"/>
    </row>
    <row r="348" spans="1:16" s="607" customFormat="1">
      <c r="A348" s="610"/>
      <c r="B348" s="610"/>
      <c r="C348" s="610"/>
      <c r="D348" s="610"/>
      <c r="E348" s="613"/>
      <c r="G348" s="612"/>
      <c r="H348" s="453"/>
      <c r="I348" s="606"/>
      <c r="J348" s="521"/>
      <c r="K348" s="521"/>
      <c r="L348" s="521"/>
      <c r="M348" s="521"/>
      <c r="N348" s="521"/>
      <c r="O348" s="521"/>
      <c r="P348" s="521"/>
    </row>
    <row r="349" spans="1:16" s="607" customFormat="1">
      <c r="A349" s="610"/>
      <c r="B349" s="610"/>
      <c r="C349" s="610"/>
      <c r="D349" s="610"/>
      <c r="E349" s="613"/>
      <c r="G349" s="612"/>
      <c r="H349" s="453"/>
      <c r="I349" s="606"/>
      <c r="J349" s="521"/>
      <c r="K349" s="521"/>
      <c r="L349" s="521"/>
      <c r="M349" s="521"/>
      <c r="N349" s="521"/>
      <c r="O349" s="521"/>
      <c r="P349" s="521"/>
    </row>
    <row r="350" spans="1:16" s="607" customFormat="1">
      <c r="A350" s="610"/>
      <c r="B350" s="610"/>
      <c r="C350" s="610"/>
      <c r="D350" s="610"/>
      <c r="E350" s="613"/>
      <c r="G350" s="612"/>
      <c r="H350" s="453"/>
      <c r="I350" s="606"/>
      <c r="J350" s="521"/>
      <c r="K350" s="521"/>
      <c r="L350" s="521"/>
      <c r="M350" s="521"/>
      <c r="N350" s="521"/>
      <c r="O350" s="521"/>
      <c r="P350" s="521"/>
    </row>
    <row r="351" spans="1:16" s="607" customFormat="1">
      <c r="A351" s="610"/>
      <c r="B351" s="610"/>
      <c r="C351" s="610"/>
      <c r="D351" s="610"/>
      <c r="E351" s="613"/>
      <c r="G351" s="612"/>
      <c r="H351" s="453"/>
      <c r="I351" s="606"/>
      <c r="J351" s="521"/>
      <c r="K351" s="521"/>
      <c r="L351" s="521"/>
      <c r="M351" s="521"/>
      <c r="N351" s="521"/>
      <c r="O351" s="521"/>
      <c r="P351" s="521"/>
    </row>
    <row r="352" spans="1:16" s="607" customFormat="1">
      <c r="A352" s="610"/>
      <c r="B352" s="610"/>
      <c r="C352" s="610"/>
      <c r="D352" s="610"/>
      <c r="E352" s="613"/>
      <c r="G352" s="612"/>
      <c r="H352" s="453"/>
      <c r="I352" s="606"/>
      <c r="J352" s="521"/>
      <c r="K352" s="521"/>
      <c r="L352" s="521"/>
      <c r="M352" s="521"/>
      <c r="N352" s="521"/>
      <c r="O352" s="521"/>
      <c r="P352" s="521"/>
    </row>
    <row r="353" spans="1:16" s="607" customFormat="1">
      <c r="A353" s="610"/>
      <c r="B353" s="610"/>
      <c r="C353" s="610"/>
      <c r="D353" s="610"/>
      <c r="E353" s="613"/>
      <c r="G353" s="612"/>
      <c r="H353" s="453"/>
      <c r="I353" s="606"/>
      <c r="J353" s="521"/>
      <c r="K353" s="521"/>
      <c r="L353" s="521"/>
      <c r="M353" s="521"/>
      <c r="N353" s="521"/>
      <c r="O353" s="521"/>
      <c r="P353" s="521"/>
    </row>
    <row r="354" spans="1:16" s="607" customFormat="1">
      <c r="A354" s="610"/>
      <c r="B354" s="610"/>
      <c r="C354" s="610"/>
      <c r="D354" s="610"/>
      <c r="E354" s="613"/>
      <c r="G354" s="612"/>
      <c r="H354" s="453"/>
      <c r="I354" s="606"/>
      <c r="J354" s="521"/>
      <c r="K354" s="521"/>
      <c r="L354" s="521"/>
      <c r="M354" s="521"/>
      <c r="N354" s="521"/>
      <c r="O354" s="521"/>
      <c r="P354" s="521"/>
    </row>
    <row r="355" spans="1:16" s="607" customFormat="1">
      <c r="A355" s="610"/>
      <c r="B355" s="610"/>
      <c r="C355" s="610"/>
      <c r="D355" s="610"/>
      <c r="E355" s="613"/>
      <c r="G355" s="612"/>
      <c r="H355" s="453"/>
      <c r="I355" s="606"/>
      <c r="J355" s="521"/>
      <c r="K355" s="521"/>
      <c r="L355" s="521"/>
      <c r="M355" s="521"/>
      <c r="N355" s="521"/>
      <c r="O355" s="521"/>
      <c r="P355" s="521"/>
    </row>
    <row r="356" spans="1:16" s="607" customFormat="1">
      <c r="A356" s="610"/>
      <c r="B356" s="610"/>
      <c r="C356" s="610"/>
      <c r="D356" s="610"/>
      <c r="E356" s="613"/>
      <c r="G356" s="612"/>
      <c r="H356" s="453"/>
      <c r="I356" s="606"/>
      <c r="J356" s="521"/>
      <c r="K356" s="521"/>
      <c r="L356" s="521"/>
      <c r="M356" s="521"/>
      <c r="N356" s="521"/>
      <c r="O356" s="521"/>
      <c r="P356" s="521"/>
    </row>
    <row r="357" spans="1:16" s="607" customFormat="1">
      <c r="A357" s="610"/>
      <c r="B357" s="610"/>
      <c r="C357" s="610"/>
      <c r="D357" s="610"/>
      <c r="E357" s="613"/>
      <c r="G357" s="612"/>
      <c r="H357" s="453"/>
      <c r="I357" s="606"/>
      <c r="J357" s="521"/>
      <c r="K357" s="521"/>
      <c r="L357" s="521"/>
      <c r="M357" s="521"/>
      <c r="N357" s="521"/>
      <c r="O357" s="521"/>
      <c r="P357" s="521"/>
    </row>
    <row r="358" spans="1:16" s="607" customFormat="1">
      <c r="A358" s="610"/>
      <c r="B358" s="610"/>
      <c r="C358" s="610"/>
      <c r="D358" s="610"/>
      <c r="E358" s="613"/>
      <c r="G358" s="612"/>
      <c r="H358" s="453"/>
      <c r="I358" s="606"/>
      <c r="J358" s="521"/>
      <c r="K358" s="521"/>
      <c r="L358" s="521"/>
      <c r="M358" s="521"/>
      <c r="N358" s="521"/>
      <c r="O358" s="521"/>
      <c r="P358" s="521"/>
    </row>
    <row r="359" spans="1:16" s="607" customFormat="1">
      <c r="A359" s="610"/>
      <c r="B359" s="610"/>
      <c r="C359" s="610"/>
      <c r="D359" s="610"/>
      <c r="E359" s="613"/>
      <c r="G359" s="612"/>
      <c r="H359" s="453"/>
      <c r="I359" s="606"/>
      <c r="J359" s="521"/>
      <c r="K359" s="521"/>
      <c r="L359" s="521"/>
      <c r="M359" s="521"/>
      <c r="N359" s="521"/>
      <c r="O359" s="521"/>
      <c r="P359" s="521"/>
    </row>
    <row r="360" spans="1:16" s="607" customFormat="1">
      <c r="A360" s="610"/>
      <c r="B360" s="610"/>
      <c r="C360" s="610"/>
      <c r="D360" s="610"/>
      <c r="E360" s="613"/>
      <c r="G360" s="612"/>
      <c r="H360" s="453"/>
      <c r="I360" s="606"/>
      <c r="J360" s="521"/>
      <c r="K360" s="521"/>
      <c r="L360" s="521"/>
      <c r="M360" s="521"/>
      <c r="N360" s="521"/>
      <c r="O360" s="521"/>
      <c r="P360" s="521"/>
    </row>
    <row r="361" spans="1:16" s="607" customFormat="1">
      <c r="A361" s="610"/>
      <c r="B361" s="610"/>
      <c r="C361" s="610"/>
      <c r="D361" s="610"/>
      <c r="E361" s="613"/>
      <c r="G361" s="612"/>
      <c r="H361" s="453"/>
      <c r="I361" s="606"/>
      <c r="J361" s="521"/>
      <c r="K361" s="521"/>
      <c r="L361" s="521"/>
      <c r="M361" s="521"/>
      <c r="N361" s="521"/>
      <c r="O361" s="521"/>
      <c r="P361" s="521"/>
    </row>
    <row r="362" spans="1:16" s="607" customFormat="1">
      <c r="A362" s="610"/>
      <c r="B362" s="610"/>
      <c r="C362" s="610"/>
      <c r="D362" s="610"/>
      <c r="E362" s="613"/>
      <c r="G362" s="612"/>
      <c r="H362" s="453"/>
      <c r="I362" s="606"/>
      <c r="J362" s="521"/>
      <c r="K362" s="521"/>
      <c r="L362" s="521"/>
      <c r="M362" s="521"/>
      <c r="N362" s="521"/>
      <c r="O362" s="521"/>
      <c r="P362" s="521"/>
    </row>
    <row r="363" spans="1:16" s="607" customFormat="1">
      <c r="A363" s="610"/>
      <c r="B363" s="610"/>
      <c r="C363" s="610"/>
      <c r="D363" s="610"/>
      <c r="E363" s="613"/>
      <c r="G363" s="612"/>
      <c r="H363" s="453"/>
      <c r="I363" s="606"/>
      <c r="J363" s="521"/>
      <c r="K363" s="521"/>
      <c r="L363" s="521"/>
      <c r="M363" s="521"/>
      <c r="N363" s="521"/>
      <c r="O363" s="521"/>
      <c r="P363" s="521"/>
    </row>
    <row r="364" spans="1:16" s="607" customFormat="1">
      <c r="A364" s="610"/>
      <c r="B364" s="610"/>
      <c r="C364" s="610"/>
      <c r="D364" s="610"/>
      <c r="E364" s="613"/>
      <c r="G364" s="612"/>
      <c r="H364" s="453"/>
      <c r="I364" s="606"/>
      <c r="J364" s="521"/>
      <c r="K364" s="521"/>
      <c r="L364" s="521"/>
      <c r="M364" s="521"/>
      <c r="N364" s="521"/>
      <c r="O364" s="521"/>
      <c r="P364" s="521"/>
    </row>
    <row r="365" spans="1:16" s="607" customFormat="1">
      <c r="A365" s="610"/>
      <c r="B365" s="610"/>
      <c r="C365" s="610"/>
      <c r="D365" s="610"/>
      <c r="E365" s="613"/>
      <c r="G365" s="612"/>
      <c r="H365" s="453"/>
      <c r="I365" s="606"/>
      <c r="J365" s="521"/>
      <c r="K365" s="521"/>
      <c r="L365" s="521"/>
      <c r="M365" s="521"/>
      <c r="N365" s="521"/>
      <c r="O365" s="521"/>
      <c r="P365" s="521"/>
    </row>
    <row r="366" spans="1:16" s="607" customFormat="1">
      <c r="A366" s="610"/>
      <c r="B366" s="610"/>
      <c r="C366" s="610"/>
      <c r="D366" s="610"/>
      <c r="E366" s="613"/>
      <c r="G366" s="612"/>
      <c r="H366" s="453"/>
      <c r="I366" s="606"/>
      <c r="J366" s="521"/>
      <c r="K366" s="521"/>
      <c r="L366" s="521"/>
      <c r="M366" s="521"/>
      <c r="N366" s="521"/>
      <c r="O366" s="521"/>
      <c r="P366" s="521"/>
    </row>
    <row r="367" spans="1:16" s="607" customFormat="1">
      <c r="A367" s="610"/>
      <c r="B367" s="610"/>
      <c r="C367" s="610"/>
      <c r="D367" s="610"/>
      <c r="E367" s="613"/>
      <c r="G367" s="612"/>
      <c r="H367" s="453"/>
      <c r="I367" s="606"/>
      <c r="J367" s="521"/>
      <c r="K367" s="521"/>
      <c r="L367" s="521"/>
      <c r="M367" s="521"/>
      <c r="N367" s="521"/>
      <c r="O367" s="521"/>
      <c r="P367" s="521"/>
    </row>
    <row r="368" spans="1:16" s="607" customFormat="1">
      <c r="A368" s="610"/>
      <c r="B368" s="610"/>
      <c r="C368" s="610"/>
      <c r="D368" s="610"/>
      <c r="E368" s="613"/>
      <c r="G368" s="612"/>
      <c r="H368" s="453"/>
      <c r="I368" s="606"/>
      <c r="J368" s="521"/>
      <c r="K368" s="521"/>
      <c r="L368" s="521"/>
      <c r="M368" s="521"/>
      <c r="N368" s="521"/>
      <c r="O368" s="521"/>
      <c r="P368" s="521"/>
    </row>
    <row r="369" spans="1:16" s="607" customFormat="1">
      <c r="A369" s="610"/>
      <c r="B369" s="610"/>
      <c r="C369" s="610"/>
      <c r="D369" s="610"/>
      <c r="E369" s="613"/>
      <c r="G369" s="612"/>
      <c r="H369" s="453"/>
      <c r="I369" s="606"/>
      <c r="J369" s="521"/>
      <c r="K369" s="521"/>
      <c r="L369" s="521"/>
      <c r="M369" s="521"/>
      <c r="N369" s="521"/>
      <c r="O369" s="521"/>
      <c r="P369" s="521"/>
    </row>
    <row r="370" spans="1:16" s="607" customFormat="1">
      <c r="A370" s="610"/>
      <c r="B370" s="610"/>
      <c r="C370" s="610"/>
      <c r="D370" s="610"/>
      <c r="E370" s="613"/>
      <c r="G370" s="612"/>
      <c r="H370" s="453"/>
      <c r="I370" s="606"/>
      <c r="J370" s="521"/>
      <c r="K370" s="521"/>
      <c r="L370" s="521"/>
      <c r="M370" s="521"/>
      <c r="N370" s="521"/>
      <c r="O370" s="521"/>
      <c r="P370" s="521"/>
    </row>
    <row r="371" spans="1:16" s="607" customFormat="1">
      <c r="A371" s="610"/>
      <c r="B371" s="610"/>
      <c r="C371" s="610"/>
      <c r="D371" s="610"/>
      <c r="E371" s="613"/>
      <c r="G371" s="612"/>
      <c r="H371" s="453"/>
      <c r="I371" s="606"/>
      <c r="J371" s="521"/>
      <c r="K371" s="521"/>
      <c r="L371" s="521"/>
      <c r="M371" s="521"/>
      <c r="N371" s="521"/>
      <c r="O371" s="521"/>
      <c r="P371" s="521"/>
    </row>
    <row r="372" spans="1:16" s="607" customFormat="1">
      <c r="A372" s="610"/>
      <c r="B372" s="610"/>
      <c r="C372" s="610"/>
      <c r="D372" s="610"/>
      <c r="E372" s="613"/>
      <c r="G372" s="612"/>
      <c r="H372" s="453"/>
      <c r="I372" s="606"/>
      <c r="J372" s="521"/>
      <c r="K372" s="521"/>
      <c r="L372" s="521"/>
      <c r="M372" s="521"/>
      <c r="N372" s="521"/>
      <c r="O372" s="521"/>
      <c r="P372" s="521"/>
    </row>
    <row r="373" spans="1:16" s="607" customFormat="1">
      <c r="A373" s="610"/>
      <c r="B373" s="610"/>
      <c r="C373" s="610"/>
      <c r="D373" s="610"/>
      <c r="E373" s="613"/>
      <c r="G373" s="612"/>
      <c r="H373" s="453"/>
      <c r="I373" s="606"/>
      <c r="J373" s="521"/>
      <c r="K373" s="521"/>
      <c r="L373" s="521"/>
      <c r="M373" s="521"/>
      <c r="N373" s="521"/>
      <c r="O373" s="521"/>
      <c r="P373" s="521"/>
    </row>
    <row r="374" spans="1:16" s="607" customFormat="1">
      <c r="A374" s="610"/>
      <c r="B374" s="610"/>
      <c r="C374" s="610"/>
      <c r="D374" s="610"/>
      <c r="E374" s="613"/>
      <c r="G374" s="612"/>
      <c r="H374" s="453"/>
      <c r="I374" s="606"/>
      <c r="J374" s="521"/>
      <c r="K374" s="521"/>
      <c r="L374" s="521"/>
      <c r="M374" s="521"/>
      <c r="N374" s="521"/>
      <c r="O374" s="521"/>
      <c r="P374" s="521"/>
    </row>
    <row r="375" spans="1:16" s="607" customFormat="1">
      <c r="A375" s="610"/>
      <c r="B375" s="610"/>
      <c r="C375" s="610"/>
      <c r="D375" s="610"/>
      <c r="E375" s="613"/>
      <c r="G375" s="612"/>
      <c r="H375" s="453"/>
      <c r="I375" s="606"/>
      <c r="J375" s="521"/>
      <c r="K375" s="521"/>
      <c r="L375" s="521"/>
      <c r="M375" s="521"/>
      <c r="N375" s="521"/>
      <c r="O375" s="521"/>
      <c r="P375" s="521"/>
    </row>
    <row r="376" spans="1:16" s="607" customFormat="1">
      <c r="A376" s="610"/>
      <c r="B376" s="610"/>
      <c r="C376" s="610"/>
      <c r="D376" s="610"/>
      <c r="E376" s="613"/>
      <c r="G376" s="612"/>
      <c r="H376" s="453"/>
      <c r="I376" s="606"/>
      <c r="J376" s="521"/>
      <c r="K376" s="521"/>
      <c r="L376" s="521"/>
      <c r="M376" s="521"/>
      <c r="N376" s="521"/>
      <c r="O376" s="521"/>
      <c r="P376" s="521"/>
    </row>
    <row r="377" spans="1:16" s="607" customFormat="1">
      <c r="A377" s="610"/>
      <c r="B377" s="610"/>
      <c r="C377" s="610"/>
      <c r="D377" s="610"/>
      <c r="E377" s="613"/>
      <c r="G377" s="612"/>
      <c r="H377" s="453"/>
      <c r="I377" s="606"/>
      <c r="J377" s="521"/>
      <c r="K377" s="521"/>
      <c r="L377" s="521"/>
      <c r="M377" s="521"/>
      <c r="N377" s="521"/>
      <c r="O377" s="521"/>
      <c r="P377" s="521"/>
    </row>
    <row r="378" spans="1:16" s="607" customFormat="1">
      <c r="A378" s="610"/>
      <c r="B378" s="610"/>
      <c r="C378" s="610"/>
      <c r="D378" s="610"/>
      <c r="E378" s="613"/>
      <c r="G378" s="612"/>
      <c r="H378" s="453"/>
      <c r="I378" s="606"/>
      <c r="J378" s="521"/>
      <c r="K378" s="521"/>
      <c r="L378" s="521"/>
      <c r="M378" s="521"/>
      <c r="N378" s="521"/>
      <c r="O378" s="521"/>
      <c r="P378" s="521"/>
    </row>
    <row r="379" spans="1:16" s="607" customFormat="1">
      <c r="A379" s="610"/>
      <c r="B379" s="610"/>
      <c r="C379" s="610"/>
      <c r="D379" s="610"/>
      <c r="E379" s="613"/>
      <c r="G379" s="612"/>
      <c r="H379" s="453"/>
      <c r="I379" s="606"/>
      <c r="J379" s="521"/>
      <c r="K379" s="521"/>
      <c r="L379" s="521"/>
      <c r="M379" s="521"/>
      <c r="N379" s="521"/>
      <c r="O379" s="521"/>
      <c r="P379" s="521"/>
    </row>
    <row r="380" spans="1:16" s="607" customFormat="1">
      <c r="A380" s="610"/>
      <c r="B380" s="610"/>
      <c r="C380" s="610"/>
      <c r="D380" s="610"/>
      <c r="E380" s="613"/>
      <c r="G380" s="612"/>
      <c r="H380" s="453"/>
      <c r="I380" s="606"/>
      <c r="J380" s="521"/>
      <c r="K380" s="521"/>
      <c r="L380" s="521"/>
      <c r="M380" s="521"/>
      <c r="N380" s="521"/>
      <c r="O380" s="521"/>
      <c r="P380" s="521"/>
    </row>
    <row r="381" spans="1:16" s="607" customFormat="1">
      <c r="A381" s="610"/>
      <c r="B381" s="610"/>
      <c r="C381" s="610"/>
      <c r="D381" s="610"/>
      <c r="E381" s="613"/>
      <c r="G381" s="612"/>
      <c r="H381" s="453"/>
      <c r="I381" s="606"/>
      <c r="J381" s="521"/>
      <c r="K381" s="521"/>
      <c r="L381" s="521"/>
      <c r="M381" s="521"/>
      <c r="N381" s="521"/>
      <c r="O381" s="521"/>
      <c r="P381" s="521"/>
    </row>
    <row r="382" spans="1:16" s="607" customFormat="1">
      <c r="A382" s="610"/>
      <c r="B382" s="610"/>
      <c r="C382" s="610"/>
      <c r="D382" s="610"/>
      <c r="E382" s="613"/>
      <c r="G382" s="612"/>
      <c r="H382" s="453"/>
      <c r="I382" s="606"/>
      <c r="J382" s="521"/>
      <c r="K382" s="521"/>
      <c r="L382" s="521"/>
      <c r="M382" s="521"/>
      <c r="N382" s="521"/>
      <c r="O382" s="521"/>
      <c r="P382" s="521"/>
    </row>
    <row r="383" spans="1:16" s="607" customFormat="1">
      <c r="A383" s="610"/>
      <c r="B383" s="610"/>
      <c r="C383" s="610"/>
      <c r="D383" s="610"/>
      <c r="E383" s="613"/>
      <c r="G383" s="612"/>
      <c r="H383" s="453"/>
      <c r="I383" s="606"/>
      <c r="J383" s="521"/>
      <c r="K383" s="521"/>
      <c r="L383" s="521"/>
      <c r="M383" s="521"/>
      <c r="N383" s="521"/>
      <c r="O383" s="521"/>
      <c r="P383" s="521"/>
    </row>
    <row r="384" spans="1:16" s="607" customFormat="1">
      <c r="A384" s="610"/>
      <c r="B384" s="610"/>
      <c r="C384" s="610"/>
      <c r="D384" s="610"/>
      <c r="E384" s="613"/>
      <c r="G384" s="612"/>
      <c r="H384" s="453"/>
      <c r="I384" s="606"/>
      <c r="J384" s="521"/>
      <c r="K384" s="521"/>
      <c r="L384" s="521"/>
      <c r="M384" s="521"/>
      <c r="N384" s="521"/>
      <c r="O384" s="521"/>
      <c r="P384" s="521"/>
    </row>
    <row r="385" spans="1:16" s="607" customFormat="1">
      <c r="A385" s="610"/>
      <c r="B385" s="610"/>
      <c r="C385" s="610"/>
      <c r="D385" s="610"/>
      <c r="E385" s="613"/>
      <c r="G385" s="612"/>
      <c r="H385" s="453"/>
      <c r="I385" s="606"/>
      <c r="J385" s="521"/>
      <c r="K385" s="521"/>
      <c r="L385" s="521"/>
      <c r="M385" s="521"/>
      <c r="N385" s="521"/>
      <c r="O385" s="521"/>
      <c r="P385" s="521"/>
    </row>
    <row r="386" spans="1:16" s="607" customFormat="1">
      <c r="A386" s="610"/>
      <c r="B386" s="610"/>
      <c r="C386" s="610"/>
      <c r="D386" s="610"/>
      <c r="E386" s="613"/>
      <c r="G386" s="612"/>
      <c r="H386" s="453"/>
      <c r="I386" s="606"/>
      <c r="J386" s="521"/>
      <c r="K386" s="521"/>
      <c r="L386" s="521"/>
      <c r="M386" s="521"/>
      <c r="N386" s="521"/>
      <c r="O386" s="521"/>
      <c r="P386" s="521"/>
    </row>
    <row r="387" spans="1:16" s="607" customFormat="1">
      <c r="A387" s="610"/>
      <c r="B387" s="610"/>
      <c r="C387" s="610"/>
      <c r="D387" s="610"/>
      <c r="E387" s="613"/>
      <c r="G387" s="612"/>
      <c r="H387" s="453"/>
      <c r="I387" s="606"/>
      <c r="J387" s="521"/>
      <c r="K387" s="521"/>
      <c r="L387" s="521"/>
      <c r="M387" s="521"/>
      <c r="N387" s="521"/>
      <c r="O387" s="521"/>
      <c r="P387" s="521"/>
    </row>
    <row r="388" spans="1:16" s="607" customFormat="1">
      <c r="A388" s="610"/>
      <c r="B388" s="610"/>
      <c r="C388" s="610"/>
      <c r="D388" s="610"/>
      <c r="E388" s="613"/>
      <c r="G388" s="612"/>
      <c r="H388" s="453"/>
      <c r="I388" s="606"/>
      <c r="J388" s="521"/>
      <c r="K388" s="521"/>
      <c r="L388" s="521"/>
      <c r="M388" s="521"/>
      <c r="N388" s="521"/>
      <c r="O388" s="521"/>
      <c r="P388" s="521"/>
    </row>
    <row r="389" spans="1:16" s="607" customFormat="1">
      <c r="A389" s="610"/>
      <c r="B389" s="610"/>
      <c r="C389" s="610"/>
      <c r="D389" s="610"/>
      <c r="E389" s="613"/>
      <c r="G389" s="612"/>
      <c r="H389" s="453"/>
      <c r="I389" s="606"/>
      <c r="J389" s="521"/>
      <c r="K389" s="521"/>
      <c r="L389" s="521"/>
      <c r="M389" s="521"/>
      <c r="N389" s="521"/>
      <c r="O389" s="521"/>
      <c r="P389" s="521"/>
    </row>
    <row r="390" spans="1:16" s="607" customFormat="1">
      <c r="A390" s="610"/>
      <c r="B390" s="610"/>
      <c r="C390" s="610"/>
      <c r="D390" s="610"/>
      <c r="E390" s="613"/>
      <c r="G390" s="612"/>
      <c r="H390" s="453"/>
      <c r="I390" s="606"/>
      <c r="J390" s="521"/>
      <c r="K390" s="521"/>
      <c r="L390" s="521"/>
      <c r="M390" s="521"/>
      <c r="N390" s="521"/>
      <c r="O390" s="521"/>
      <c r="P390" s="521"/>
    </row>
    <row r="391" spans="1:16" s="607" customFormat="1">
      <c r="A391" s="610"/>
      <c r="B391" s="610"/>
      <c r="C391" s="610"/>
      <c r="D391" s="610"/>
      <c r="E391" s="613"/>
      <c r="G391" s="612"/>
      <c r="H391" s="453"/>
      <c r="I391" s="606"/>
      <c r="J391" s="521"/>
      <c r="K391" s="521"/>
      <c r="L391" s="521"/>
      <c r="M391" s="521"/>
      <c r="N391" s="521"/>
      <c r="O391" s="521"/>
      <c r="P391" s="521"/>
    </row>
    <row r="392" spans="1:16" s="607" customFormat="1">
      <c r="A392" s="610"/>
      <c r="B392" s="610"/>
      <c r="C392" s="610"/>
      <c r="D392" s="610"/>
      <c r="E392" s="613"/>
      <c r="G392" s="612"/>
      <c r="H392" s="453"/>
      <c r="I392" s="606"/>
      <c r="J392" s="521"/>
      <c r="K392" s="521"/>
      <c r="L392" s="521"/>
      <c r="M392" s="521"/>
      <c r="N392" s="521"/>
      <c r="O392" s="521"/>
      <c r="P392" s="521"/>
    </row>
    <row r="393" spans="1:16" s="607" customFormat="1">
      <c r="A393" s="610"/>
      <c r="B393" s="610"/>
      <c r="C393" s="610"/>
      <c r="D393" s="610"/>
      <c r="E393" s="613"/>
      <c r="G393" s="612"/>
      <c r="H393" s="453"/>
      <c r="I393" s="606"/>
      <c r="J393" s="521"/>
      <c r="K393" s="521"/>
      <c r="L393" s="521"/>
      <c r="M393" s="521"/>
      <c r="N393" s="521"/>
      <c r="O393" s="521"/>
      <c r="P393" s="521"/>
    </row>
    <row r="394" spans="1:16" s="607" customFormat="1">
      <c r="A394" s="610"/>
      <c r="B394" s="610"/>
      <c r="C394" s="610"/>
      <c r="D394" s="610"/>
      <c r="E394" s="613"/>
      <c r="G394" s="612"/>
      <c r="H394" s="453"/>
      <c r="I394" s="606"/>
      <c r="J394" s="521"/>
      <c r="K394" s="521"/>
      <c r="L394" s="521"/>
      <c r="M394" s="521"/>
      <c r="N394" s="521"/>
      <c r="O394" s="521"/>
      <c r="P394" s="521"/>
    </row>
    <row r="395" spans="1:16" s="607" customFormat="1">
      <c r="A395" s="610"/>
      <c r="B395" s="610"/>
      <c r="C395" s="610"/>
      <c r="D395" s="610"/>
      <c r="E395" s="613"/>
      <c r="G395" s="612"/>
      <c r="H395" s="453"/>
      <c r="I395" s="606"/>
      <c r="J395" s="521"/>
      <c r="K395" s="521"/>
      <c r="L395" s="521"/>
      <c r="M395" s="521"/>
      <c r="N395" s="521"/>
      <c r="O395" s="521"/>
      <c r="P395" s="521"/>
    </row>
  </sheetData>
  <sheetProtection selectLockedCells="1" selectUnlockedCells="1"/>
  <mergeCells count="18">
    <mergeCell ref="E143:Q143"/>
    <mergeCell ref="E144:Q144"/>
    <mergeCell ref="E23:E24"/>
    <mergeCell ref="M40:M41"/>
    <mergeCell ref="E39:E40"/>
    <mergeCell ref="H39:H41"/>
    <mergeCell ref="B28:E28"/>
    <mergeCell ref="E141:Q141"/>
    <mergeCell ref="E142:Q142"/>
    <mergeCell ref="A139:Q140"/>
    <mergeCell ref="N39:N41"/>
    <mergeCell ref="Q6:Q7"/>
    <mergeCell ref="B30:E30"/>
    <mergeCell ref="O40:O41"/>
    <mergeCell ref="A38:Q38"/>
    <mergeCell ref="E1:Q1"/>
    <mergeCell ref="B3:E3"/>
    <mergeCell ref="Q4:Q5"/>
  </mergeCells>
  <phoneticPr fontId="97" type="noConversion"/>
  <printOptions horizontalCentered="1" verticalCentered="1"/>
  <pageMargins left="0.5" right="0" top="0" bottom="0" header="0.5" footer="0.5"/>
  <pageSetup fitToHeight="3" orientation="landscape" horizontalDpi="4294967293" verticalDpi="4294967293" r:id="rId1"/>
  <headerFooter>
    <oddHeader>&amp;R&amp;D</oddHeader>
    <oddFooter>&amp;RPage &amp;P of &amp;N</oddFooter>
  </headerFooter>
  <rowBreaks count="4" manualBreakCount="4">
    <brk id="36" max="13" man="1"/>
    <brk id="74" max="16383" man="1"/>
    <brk id="106" max="13" man="1"/>
    <brk id="13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2"/>
  <sheetViews>
    <sheetView workbookViewId="0">
      <selection activeCell="E18" sqref="E18"/>
    </sheetView>
    <sheetView workbookViewId="1"/>
  </sheetViews>
  <sheetFormatPr defaultColWidth="12.33203125" defaultRowHeight="17.100000000000001" customHeight="1"/>
  <cols>
    <col min="1" max="1" width="50.33203125" style="351" customWidth="1"/>
    <col min="2" max="2" width="13.33203125" style="351" customWidth="1"/>
    <col min="3" max="3" width="14.88671875" style="351" customWidth="1"/>
    <col min="4" max="4" width="12.33203125" style="351" customWidth="1"/>
    <col min="5" max="5" width="39.88671875" style="351" customWidth="1"/>
    <col min="6" max="6" width="18.109375" style="351" customWidth="1"/>
    <col min="7" max="7" width="31.33203125" style="354" bestFit="1" customWidth="1"/>
    <col min="8" max="8" width="16" style="354" bestFit="1" customWidth="1"/>
    <col min="9" max="9" width="18.44140625" style="354" bestFit="1" customWidth="1"/>
    <col min="10" max="10" width="15.33203125" style="351" customWidth="1"/>
    <col min="11" max="16384" width="12.33203125" style="351"/>
  </cols>
  <sheetData>
    <row r="2" spans="1:9" ht="17.100000000000001" customHeight="1">
      <c r="A2" s="352" t="s">
        <v>21</v>
      </c>
      <c r="B2" s="353"/>
    </row>
    <row r="3" spans="1:9" s="356" customFormat="1" ht="17.100000000000001" customHeight="1">
      <c r="A3" s="355"/>
      <c r="B3" s="355"/>
      <c r="G3" s="357"/>
      <c r="H3" s="357"/>
      <c r="I3" s="357"/>
    </row>
    <row r="4" spans="1:9" ht="33" customHeight="1">
      <c r="B4" s="389" t="s">
        <v>65</v>
      </c>
      <c r="C4" s="388" t="s">
        <v>22</v>
      </c>
      <c r="D4" s="389" t="s">
        <v>23</v>
      </c>
      <c r="E4" s="360"/>
      <c r="F4" s="360"/>
      <c r="G4" s="360"/>
    </row>
    <row r="5" spans="1:9" ht="17.100000000000001" customHeight="1">
      <c r="A5" s="350" t="s">
        <v>24</v>
      </c>
      <c r="B5" s="358"/>
      <c r="C5" s="359"/>
      <c r="D5" s="358"/>
      <c r="E5" s="360"/>
      <c r="F5" s="360"/>
      <c r="G5" s="360"/>
    </row>
    <row r="6" spans="1:9" ht="27.6">
      <c r="A6" s="361" t="s">
        <v>67</v>
      </c>
      <c r="B6" s="362">
        <v>1000</v>
      </c>
      <c r="C6" s="363">
        <v>0</v>
      </c>
      <c r="D6" s="362">
        <v>1000</v>
      </c>
      <c r="E6" s="364" t="s">
        <v>25</v>
      </c>
      <c r="F6" s="360"/>
      <c r="G6" s="360"/>
      <c r="H6" s="360"/>
    </row>
    <row r="7" spans="1:9" ht="17.100000000000001" customHeight="1">
      <c r="A7" s="361" t="s">
        <v>68</v>
      </c>
      <c r="B7" s="362">
        <v>23800</v>
      </c>
      <c r="C7" s="363" t="s">
        <v>26</v>
      </c>
      <c r="D7" s="362">
        <v>22600</v>
      </c>
      <c r="E7" s="360" t="s">
        <v>27</v>
      </c>
      <c r="F7" s="360"/>
      <c r="G7" s="360"/>
      <c r="H7" s="360"/>
    </row>
    <row r="8" spans="1:9" ht="17.100000000000001" customHeight="1">
      <c r="A8" s="361"/>
      <c r="B8" s="362"/>
      <c r="C8" s="363"/>
      <c r="D8" s="391">
        <v>1000</v>
      </c>
      <c r="E8" s="360" t="s">
        <v>1</v>
      </c>
      <c r="F8" s="360"/>
      <c r="G8" s="360"/>
      <c r="H8" s="360"/>
    </row>
    <row r="9" spans="1:9" ht="17.100000000000001" customHeight="1">
      <c r="A9" s="361"/>
      <c r="B9" s="362"/>
      <c r="C9" s="363"/>
      <c r="D9" s="391">
        <f>(D7+D8)*0.0816</f>
        <v>1925.7600000000002</v>
      </c>
      <c r="E9" s="360" t="s">
        <v>0</v>
      </c>
      <c r="F9" s="360"/>
      <c r="G9" s="360"/>
      <c r="H9" s="360"/>
    </row>
    <row r="10" spans="1:9" ht="17.100000000000001" customHeight="1">
      <c r="A10" s="361" t="s">
        <v>69</v>
      </c>
      <c r="B10" s="362">
        <v>600</v>
      </c>
      <c r="C10" s="363" t="s">
        <v>26</v>
      </c>
      <c r="D10" s="362">
        <v>0</v>
      </c>
      <c r="E10" s="360" t="s">
        <v>178</v>
      </c>
      <c r="F10" s="371">
        <f>D7+D8+D9</f>
        <v>25525.760000000002</v>
      </c>
      <c r="G10" s="360"/>
      <c r="H10" s="360"/>
    </row>
    <row r="11" spans="1:9" ht="17.100000000000001" customHeight="1">
      <c r="A11" s="365" t="s">
        <v>66</v>
      </c>
      <c r="B11" s="358">
        <f>SUM(B6:B10)</f>
        <v>25400</v>
      </c>
      <c r="C11" s="366">
        <f>SUM(C6:C10)</f>
        <v>0</v>
      </c>
      <c r="D11" s="358">
        <f>SUM(D6:D10)</f>
        <v>26525.760000000002</v>
      </c>
      <c r="E11" s="360"/>
      <c r="F11" s="360"/>
      <c r="G11" s="360"/>
      <c r="H11" s="360"/>
    </row>
    <row r="12" spans="1:9" ht="17.100000000000001" customHeight="1">
      <c r="A12" s="367" t="s">
        <v>70</v>
      </c>
      <c r="B12" s="368"/>
      <c r="C12" s="369"/>
      <c r="D12" s="368"/>
      <c r="E12" s="360"/>
      <c r="F12" s="360"/>
      <c r="G12" s="360"/>
      <c r="H12" s="360"/>
    </row>
    <row r="13" spans="1:9" ht="17.100000000000001" customHeight="1">
      <c r="A13" s="361" t="s">
        <v>71</v>
      </c>
      <c r="B13" s="362">
        <v>550</v>
      </c>
      <c r="C13" s="363">
        <v>1081</v>
      </c>
      <c r="D13" s="362">
        <v>900</v>
      </c>
      <c r="E13" s="360"/>
      <c r="F13" s="360"/>
      <c r="G13" s="360"/>
      <c r="H13" s="360"/>
    </row>
    <row r="14" spans="1:9" ht="17.100000000000001" customHeight="1">
      <c r="A14" s="361" t="s">
        <v>72</v>
      </c>
      <c r="B14" s="362">
        <v>100</v>
      </c>
      <c r="C14" s="363">
        <v>243</v>
      </c>
      <c r="D14" s="362">
        <v>300</v>
      </c>
      <c r="E14" s="360"/>
      <c r="F14" s="360"/>
      <c r="G14" s="360"/>
      <c r="H14" s="360"/>
    </row>
    <row r="15" spans="1:9" ht="17.100000000000001" customHeight="1">
      <c r="A15" s="361" t="s">
        <v>73</v>
      </c>
      <c r="B15" s="362">
        <v>200</v>
      </c>
      <c r="C15" s="363">
        <v>120</v>
      </c>
      <c r="D15" s="362">
        <v>200</v>
      </c>
      <c r="E15" s="360"/>
      <c r="F15" s="360"/>
      <c r="G15" s="360"/>
      <c r="H15" s="360"/>
    </row>
    <row r="16" spans="1:9" ht="17.100000000000001" customHeight="1">
      <c r="A16" s="361" t="s">
        <v>74</v>
      </c>
      <c r="B16" s="362">
        <v>800</v>
      </c>
      <c r="C16" s="363">
        <v>479</v>
      </c>
      <c r="D16" s="362">
        <v>500</v>
      </c>
      <c r="E16" s="360"/>
      <c r="F16" s="360"/>
      <c r="G16" s="360"/>
      <c r="H16" s="360"/>
    </row>
    <row r="17" spans="1:9" ht="17.100000000000001" customHeight="1">
      <c r="A17" s="365" t="s">
        <v>75</v>
      </c>
      <c r="B17" s="370">
        <f>SUM(B13:B16)</f>
        <v>1650</v>
      </c>
      <c r="C17" s="366">
        <f>SUM(C13:C16)</f>
        <v>1923</v>
      </c>
      <c r="D17" s="358">
        <f>SUM(D13:D16)</f>
        <v>1900</v>
      </c>
      <c r="E17" s="360"/>
      <c r="F17" s="360"/>
      <c r="G17" s="360"/>
      <c r="H17" s="360"/>
    </row>
    <row r="18" spans="1:9" ht="17.100000000000001" customHeight="1">
      <c r="A18" s="350" t="s">
        <v>76</v>
      </c>
      <c r="B18" s="360"/>
      <c r="C18" s="360"/>
      <c r="D18" s="360"/>
      <c r="E18" s="360"/>
      <c r="F18" s="360"/>
      <c r="G18" s="360"/>
      <c r="H18" s="360"/>
    </row>
    <row r="19" spans="1:9" ht="17.100000000000001" customHeight="1">
      <c r="B19" s="362">
        <v>6000</v>
      </c>
      <c r="C19" s="363">
        <v>4833</v>
      </c>
      <c r="D19" s="362" t="s">
        <v>178</v>
      </c>
      <c r="E19" s="360"/>
      <c r="F19" s="360"/>
      <c r="G19" s="360"/>
      <c r="H19" s="360"/>
    </row>
    <row r="20" spans="1:9" ht="17.100000000000001" customHeight="1">
      <c r="A20" s="361" t="s">
        <v>603</v>
      </c>
      <c r="B20" s="362"/>
      <c r="C20" s="363"/>
      <c r="D20" s="362">
        <v>500</v>
      </c>
      <c r="E20" s="360"/>
      <c r="F20" s="360"/>
      <c r="G20" s="360"/>
      <c r="H20" s="360"/>
    </row>
    <row r="21" spans="1:9" ht="17.100000000000001" customHeight="1">
      <c r="A21" s="361" t="s">
        <v>15</v>
      </c>
      <c r="B21" s="362"/>
      <c r="C21" s="363"/>
      <c r="D21" s="362">
        <v>2075</v>
      </c>
      <c r="E21" s="360"/>
      <c r="F21" s="360"/>
      <c r="G21" s="360"/>
      <c r="H21" s="360"/>
    </row>
    <row r="22" spans="1:9" ht="17.100000000000001" customHeight="1">
      <c r="A22" s="361" t="s">
        <v>74</v>
      </c>
      <c r="B22" s="362"/>
      <c r="C22" s="363"/>
      <c r="D22" s="362">
        <v>700</v>
      </c>
      <c r="E22" s="360"/>
      <c r="F22" s="360"/>
      <c r="G22" s="360"/>
      <c r="H22" s="360"/>
    </row>
    <row r="23" spans="1:9" ht="17.100000000000001" customHeight="1">
      <c r="A23" s="361" t="s">
        <v>16</v>
      </c>
      <c r="B23" s="362"/>
      <c r="C23" s="363"/>
      <c r="D23" s="362">
        <v>630</v>
      </c>
      <c r="E23" s="360"/>
      <c r="F23" s="360"/>
      <c r="G23" s="360"/>
      <c r="H23" s="360"/>
    </row>
    <row r="24" spans="1:9" ht="17.100000000000001" customHeight="1">
      <c r="A24" s="365" t="s">
        <v>17</v>
      </c>
      <c r="B24" s="358">
        <f>SUM(B19:B23)</f>
        <v>6000</v>
      </c>
      <c r="C24" s="366">
        <f>SUM(C19:C23)</f>
        <v>4833</v>
      </c>
      <c r="D24" s="358">
        <f>SUM(D20:D23)</f>
        <v>3905</v>
      </c>
      <c r="E24" s="371" t="s">
        <v>178</v>
      </c>
      <c r="F24" s="360" t="s">
        <v>178</v>
      </c>
      <c r="G24" s="360"/>
      <c r="H24" s="360"/>
    </row>
    <row r="25" spans="1:9" ht="17.100000000000001" customHeight="1">
      <c r="A25" s="372"/>
      <c r="B25" s="373"/>
      <c r="C25" s="374"/>
      <c r="D25" s="373"/>
      <c r="E25" s="360"/>
      <c r="F25" s="360"/>
      <c r="G25" s="360"/>
    </row>
    <row r="26" spans="1:9" s="372" customFormat="1" ht="17.100000000000001" customHeight="1">
      <c r="A26" s="365" t="s">
        <v>18</v>
      </c>
      <c r="B26" s="358">
        <f>+B24+B17+B11</f>
        <v>33050</v>
      </c>
      <c r="C26" s="366">
        <f>+C11+C24</f>
        <v>4833</v>
      </c>
      <c r="D26" s="390">
        <f>+D17+D11+D24</f>
        <v>32330.760000000002</v>
      </c>
      <c r="E26" s="371" t="s">
        <v>2</v>
      </c>
      <c r="F26" s="360"/>
      <c r="G26" s="360"/>
      <c r="H26" s="373"/>
      <c r="I26" s="373"/>
    </row>
    <row r="27" spans="1:9" s="372" customFormat="1" ht="17.100000000000001" customHeight="1">
      <c r="E27" s="360"/>
      <c r="F27" s="360"/>
      <c r="G27" s="360"/>
      <c r="H27" s="373"/>
      <c r="I27" s="373"/>
    </row>
    <row r="28" spans="1:9" s="372" customFormat="1" ht="17.100000000000001" customHeight="1">
      <c r="A28" s="350" t="s">
        <v>28</v>
      </c>
      <c r="E28" s="360"/>
      <c r="F28" s="360"/>
      <c r="G28" s="360"/>
      <c r="H28" s="373"/>
      <c r="I28" s="373"/>
    </row>
    <row r="29" spans="1:9" s="372" customFormat="1" ht="17.100000000000001" customHeight="1">
      <c r="A29" s="375" t="s">
        <v>29</v>
      </c>
      <c r="B29" s="375" t="s">
        <v>178</v>
      </c>
      <c r="C29" s="376"/>
      <c r="D29" s="362">
        <v>1045</v>
      </c>
      <c r="E29" s="377" t="s">
        <v>30</v>
      </c>
      <c r="F29" s="360"/>
      <c r="G29" s="360"/>
      <c r="H29" s="373"/>
      <c r="I29" s="373"/>
    </row>
    <row r="30" spans="1:9" ht="17.100000000000001" customHeight="1">
      <c r="A30" s="361" t="s">
        <v>31</v>
      </c>
      <c r="B30" s="362"/>
      <c r="C30" s="363"/>
      <c r="D30" s="362">
        <v>1045</v>
      </c>
      <c r="E30" s="377" t="s">
        <v>30</v>
      </c>
      <c r="F30" s="378"/>
      <c r="G30" s="360"/>
      <c r="H30" s="360"/>
    </row>
    <row r="31" spans="1:9" ht="17.100000000000001" customHeight="1">
      <c r="A31" s="372"/>
      <c r="B31" s="373"/>
      <c r="C31" s="374"/>
      <c r="D31" s="373"/>
      <c r="E31" s="377"/>
      <c r="F31" s="378"/>
      <c r="G31" s="360"/>
      <c r="H31" s="360"/>
    </row>
    <row r="32" spans="1:9" ht="17.100000000000001" customHeight="1">
      <c r="A32" s="365" t="s">
        <v>32</v>
      </c>
      <c r="B32" s="358">
        <v>0</v>
      </c>
      <c r="C32" s="366">
        <v>0</v>
      </c>
      <c r="D32" s="358">
        <f>SUM(D29:D31)</f>
        <v>2090</v>
      </c>
      <c r="E32" s="377"/>
      <c r="F32" s="378"/>
      <c r="G32" s="360"/>
      <c r="H32" s="360"/>
    </row>
    <row r="33" spans="1:9" s="372" customFormat="1" ht="17.100000000000001" customHeight="1">
      <c r="E33" s="360"/>
      <c r="F33" s="360"/>
      <c r="G33" s="360"/>
      <c r="H33" s="373"/>
      <c r="I33" s="373"/>
    </row>
    <row r="34" spans="1:9" s="372" customFormat="1" ht="17.100000000000001" customHeight="1">
      <c r="B34" s="377">
        <f>8*35</f>
        <v>280</v>
      </c>
      <c r="C34" s="379" t="s">
        <v>33</v>
      </c>
      <c r="E34" s="360"/>
      <c r="F34" s="360"/>
      <c r="G34" s="360"/>
      <c r="H34" s="373"/>
      <c r="I34" s="373"/>
    </row>
    <row r="35" spans="1:9" s="372" customFormat="1" ht="17.100000000000001" customHeight="1">
      <c r="B35" s="377">
        <f>9*11</f>
        <v>99</v>
      </c>
      <c r="C35" s="380" t="s">
        <v>34</v>
      </c>
      <c r="D35" s="381"/>
      <c r="E35" s="360"/>
      <c r="F35" s="360"/>
      <c r="G35" s="360"/>
      <c r="H35" s="373"/>
      <c r="I35" s="373"/>
    </row>
    <row r="36" spans="1:9" s="372" customFormat="1" ht="17.100000000000001" customHeight="1">
      <c r="A36" s="377"/>
      <c r="B36" s="377">
        <f>9*40</f>
        <v>360</v>
      </c>
      <c r="C36" s="377" t="s">
        <v>35</v>
      </c>
      <c r="D36" s="382"/>
      <c r="E36" s="351"/>
      <c r="F36" s="354"/>
      <c r="G36" s="354"/>
      <c r="H36" s="373"/>
      <c r="I36" s="373"/>
    </row>
    <row r="37" spans="1:9" s="372" customFormat="1" ht="17.100000000000001" customHeight="1">
      <c r="A37" s="383">
        <f>SUM(B34:B37)</f>
        <v>899</v>
      </c>
      <c r="B37" s="377">
        <f>8*20</f>
        <v>160</v>
      </c>
      <c r="C37" s="377" t="s">
        <v>36</v>
      </c>
      <c r="D37" s="382"/>
      <c r="E37" s="351"/>
      <c r="F37" s="351"/>
      <c r="G37" s="351"/>
      <c r="H37" s="373"/>
      <c r="I37" s="373"/>
    </row>
    <row r="38" spans="1:9" s="372" customFormat="1" ht="17.100000000000001" customHeight="1">
      <c r="A38" s="384"/>
      <c r="B38" s="385"/>
      <c r="C38" s="385"/>
      <c r="D38" s="378"/>
      <c r="E38" s="360"/>
      <c r="F38" s="360"/>
      <c r="G38" s="360"/>
      <c r="H38" s="373"/>
      <c r="I38" s="373"/>
    </row>
    <row r="39" spans="1:9" s="372" customFormat="1" ht="17.100000000000001" customHeight="1">
      <c r="A39" s="384"/>
      <c r="B39" s="385">
        <v>50</v>
      </c>
      <c r="C39" s="385" t="s">
        <v>37</v>
      </c>
      <c r="D39" s="378"/>
      <c r="E39" s="360"/>
      <c r="F39" s="360"/>
      <c r="G39" s="360"/>
      <c r="H39" s="373"/>
      <c r="I39" s="373"/>
    </row>
    <row r="40" spans="1:9" ht="17.100000000000001" customHeight="1">
      <c r="A40" s="383">
        <f>SUM(B39:B40)</f>
        <v>300</v>
      </c>
      <c r="B40" s="377">
        <v>250</v>
      </c>
      <c r="C40" s="377" t="s">
        <v>38</v>
      </c>
      <c r="D40" s="382"/>
      <c r="G40" s="351"/>
      <c r="H40" s="351"/>
      <c r="I40" s="351"/>
    </row>
    <row r="41" spans="1:9" s="372" customFormat="1" ht="17.100000000000001" customHeight="1">
      <c r="A41" s="384"/>
      <c r="B41" s="385"/>
      <c r="C41" s="385"/>
      <c r="D41" s="378"/>
      <c r="E41" s="360"/>
      <c r="F41" s="360"/>
      <c r="G41" s="360"/>
      <c r="H41" s="373"/>
      <c r="I41" s="373"/>
    </row>
    <row r="42" spans="1:9" ht="17.100000000000001" customHeight="1">
      <c r="A42" s="383">
        <f>SUM(B42)</f>
        <v>200</v>
      </c>
      <c r="B42" s="377">
        <v>200</v>
      </c>
      <c r="C42" s="377" t="s">
        <v>39</v>
      </c>
      <c r="D42" s="382"/>
      <c r="G42" s="351"/>
      <c r="H42" s="351"/>
      <c r="I42" s="351"/>
    </row>
    <row r="43" spans="1:9" ht="17.100000000000001" customHeight="1">
      <c r="A43" s="383"/>
      <c r="B43" s="377"/>
      <c r="C43" s="377"/>
      <c r="D43" s="382"/>
      <c r="G43" s="351"/>
      <c r="H43" s="351"/>
      <c r="I43" s="351"/>
    </row>
    <row r="44" spans="1:9" ht="17.100000000000001" customHeight="1">
      <c r="A44" s="383">
        <v>500</v>
      </c>
      <c r="B44" s="377">
        <v>500</v>
      </c>
      <c r="C44" s="377" t="s">
        <v>40</v>
      </c>
      <c r="D44" s="382"/>
      <c r="F44" s="354"/>
    </row>
    <row r="45" spans="1:9" ht="17.100000000000001" customHeight="1">
      <c r="A45" s="383"/>
      <c r="B45" s="377"/>
      <c r="C45" s="377"/>
      <c r="D45" s="382"/>
      <c r="F45" s="354"/>
    </row>
    <row r="46" spans="1:9" ht="17.100000000000001" customHeight="1">
      <c r="A46" s="386"/>
      <c r="B46" s="383">
        <f>SUM(B34:B45)</f>
        <v>1899</v>
      </c>
      <c r="C46" s="383" t="s">
        <v>41</v>
      </c>
      <c r="D46" s="382"/>
      <c r="F46" s="354"/>
    </row>
    <row r="47" spans="1:9" ht="17.100000000000001" customHeight="1">
      <c r="A47" s="386"/>
      <c r="B47" s="384"/>
      <c r="C47" s="384"/>
      <c r="D47" s="382"/>
      <c r="F47" s="360"/>
    </row>
    <row r="48" spans="1:9" ht="17.100000000000001" customHeight="1">
      <c r="A48" s="383">
        <f>SUM(B48)</f>
        <v>500</v>
      </c>
      <c r="B48" s="377">
        <v>500</v>
      </c>
      <c r="C48" s="377" t="s">
        <v>42</v>
      </c>
      <c r="D48" s="382"/>
    </row>
    <row r="49" spans="1:6" ht="17.100000000000001" customHeight="1">
      <c r="A49" s="386"/>
      <c r="B49" s="384"/>
      <c r="C49" s="384"/>
      <c r="D49" s="382"/>
      <c r="F49" s="360"/>
    </row>
    <row r="50" spans="1:6" ht="17.100000000000001" customHeight="1">
      <c r="A50" s="386"/>
      <c r="B50" s="377">
        <v>450</v>
      </c>
      <c r="C50" s="377" t="s">
        <v>43</v>
      </c>
      <c r="D50" s="382"/>
      <c r="F50" s="360"/>
    </row>
    <row r="51" spans="1:6" ht="17.100000000000001" customHeight="1">
      <c r="A51" s="386"/>
      <c r="B51" s="377">
        <v>345</v>
      </c>
      <c r="C51" s="377" t="s">
        <v>44</v>
      </c>
      <c r="D51" s="382"/>
      <c r="F51" s="360"/>
    </row>
    <row r="52" spans="1:6" ht="17.100000000000001" customHeight="1">
      <c r="A52" s="387"/>
      <c r="B52" s="377">
        <v>925</v>
      </c>
      <c r="C52" s="377" t="s">
        <v>45</v>
      </c>
      <c r="D52" s="382"/>
      <c r="F52" s="360"/>
    </row>
    <row r="53" spans="1:6" ht="17.100000000000001" customHeight="1">
      <c r="A53" s="377"/>
      <c r="B53" s="377">
        <v>55</v>
      </c>
      <c r="C53" s="377" t="s">
        <v>46</v>
      </c>
      <c r="D53" s="382"/>
      <c r="F53" s="360"/>
    </row>
    <row r="54" spans="1:6" ht="17.100000000000001" customHeight="1">
      <c r="A54" s="383">
        <f>SUM(B50:B54)</f>
        <v>2075</v>
      </c>
      <c r="B54" s="377">
        <v>300</v>
      </c>
      <c r="C54" s="377" t="s">
        <v>47</v>
      </c>
      <c r="D54" s="382"/>
    </row>
    <row r="55" spans="1:6" ht="17.100000000000001" customHeight="1">
      <c r="A55" s="377"/>
      <c r="B55" s="377"/>
      <c r="C55" s="377"/>
      <c r="D55" s="382"/>
    </row>
    <row r="56" spans="1:6" ht="17.100000000000001" customHeight="1">
      <c r="A56" s="384"/>
      <c r="B56" s="377">
        <v>200</v>
      </c>
      <c r="C56" s="377" t="s">
        <v>48</v>
      </c>
      <c r="D56" s="382"/>
    </row>
    <row r="57" spans="1:6" ht="17.100000000000001" customHeight="1">
      <c r="A57" s="383">
        <f>SUM(B56:B57)</f>
        <v>700</v>
      </c>
      <c r="B57" s="377">
        <v>500</v>
      </c>
      <c r="C57" s="377" t="s">
        <v>49</v>
      </c>
      <c r="D57" s="382"/>
    </row>
    <row r="58" spans="1:6" ht="17.100000000000001" customHeight="1">
      <c r="A58" s="384"/>
      <c r="B58" s="377"/>
      <c r="C58" s="377"/>
      <c r="D58" s="382"/>
    </row>
    <row r="59" spans="1:6" ht="17.100000000000001" customHeight="1">
      <c r="A59" s="377"/>
      <c r="B59" s="377">
        <v>330</v>
      </c>
      <c r="C59" s="377" t="s">
        <v>50</v>
      </c>
      <c r="D59" s="382"/>
    </row>
    <row r="60" spans="1:6" ht="17.100000000000001" customHeight="1">
      <c r="A60" s="383">
        <f>SUM(B59:B60)</f>
        <v>630</v>
      </c>
      <c r="B60" s="377">
        <v>300</v>
      </c>
      <c r="C60" s="377" t="s">
        <v>51</v>
      </c>
      <c r="D60" s="382"/>
    </row>
    <row r="61" spans="1:6" ht="17.100000000000001" customHeight="1">
      <c r="A61" s="377"/>
      <c r="B61" s="377"/>
      <c r="C61" s="377"/>
      <c r="D61" s="382"/>
    </row>
    <row r="62" spans="1:6" ht="17.100000000000001" customHeight="1">
      <c r="A62" s="377"/>
      <c r="B62" s="383">
        <f>SUM(B48:B60)</f>
        <v>3905</v>
      </c>
      <c r="C62" s="383" t="s">
        <v>52</v>
      </c>
      <c r="D62" s="382"/>
    </row>
    <row r="63" spans="1:6" s="360" customFormat="1" ht="17.100000000000001" customHeight="1"/>
    <row r="64" spans="1:6" s="360" customFormat="1" ht="17.100000000000001" customHeight="1"/>
    <row r="65" spans="1:5" s="360" customFormat="1" ht="17.100000000000001" customHeight="1">
      <c r="A65" s="350" t="s">
        <v>53</v>
      </c>
    </row>
    <row r="66" spans="1:5" s="360" customFormat="1" ht="28.5" customHeight="1">
      <c r="A66" s="778" t="s">
        <v>54</v>
      </c>
      <c r="B66" s="778"/>
      <c r="C66" s="778"/>
      <c r="D66" s="778"/>
      <c r="E66" s="778"/>
    </row>
    <row r="67" spans="1:5" s="360" customFormat="1" ht="17.100000000000001" customHeight="1"/>
    <row r="68" spans="1:5" s="360" customFormat="1" ht="17.100000000000001" customHeight="1">
      <c r="A68" s="351" t="s">
        <v>55</v>
      </c>
      <c r="B68" s="354">
        <v>57321</v>
      </c>
      <c r="C68" s="351" t="s">
        <v>56</v>
      </c>
    </row>
    <row r="69" spans="1:5" s="360" customFormat="1" ht="17.100000000000001" customHeight="1">
      <c r="A69" s="351" t="s">
        <v>57</v>
      </c>
      <c r="B69" s="354">
        <f>+B68/200</f>
        <v>286.60500000000002</v>
      </c>
      <c r="C69" s="351"/>
    </row>
    <row r="70" spans="1:5" s="360" customFormat="1" ht="17.100000000000001" customHeight="1">
      <c r="A70" s="351" t="s">
        <v>58</v>
      </c>
      <c r="B70" s="354">
        <f>+B69/6.67</f>
        <v>42.969265367316346</v>
      </c>
      <c r="C70" s="351"/>
    </row>
    <row r="71" spans="1:5" s="360" customFormat="1" ht="17.100000000000001" customHeight="1">
      <c r="A71" s="351" t="s">
        <v>59</v>
      </c>
      <c r="B71" s="354">
        <f>+B70*15</f>
        <v>644.53898050974522</v>
      </c>
      <c r="C71" s="351"/>
    </row>
    <row r="72" spans="1:5" ht="17.100000000000001" customHeight="1">
      <c r="A72" s="351" t="s">
        <v>60</v>
      </c>
      <c r="B72" s="358">
        <f>+B71*35</f>
        <v>22558.864317841082</v>
      </c>
    </row>
  </sheetData>
  <mergeCells count="1">
    <mergeCell ref="A66:E66"/>
  </mergeCells>
  <phoneticPr fontId="97" type="noConversion"/>
  <pageMargins left="0.25" right="0.25" top="0.75" bottom="0.75" header="0.3" footer="0.3"/>
  <pageSetup orientation="landscape" horizontalDpi="4294967293" verticalDpi="4294967293"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topLeftCell="B1" workbookViewId="0"/>
    <sheetView topLeftCell="B1" workbookViewId="1"/>
  </sheetViews>
  <sheetFormatPr defaultColWidth="9.109375" defaultRowHeight="17.399999999999999"/>
  <cols>
    <col min="1" max="1" width="6" style="75" hidden="1" customWidth="1"/>
    <col min="2" max="2" width="39" style="93" customWidth="1"/>
    <col min="3" max="3" width="31.44140625" style="81" hidden="1" customWidth="1"/>
    <col min="4" max="4" width="12.44140625" style="120" hidden="1" customWidth="1"/>
    <col min="5" max="5" width="12" style="81" hidden="1" customWidth="1"/>
    <col min="6" max="6" width="12.109375" style="81" hidden="1" customWidth="1"/>
    <col min="7" max="7" width="13.6640625" style="84" hidden="1" customWidth="1"/>
    <col min="8" max="8" width="14.109375" style="121" hidden="1" customWidth="1"/>
    <col min="9" max="9" width="14" style="258" hidden="1" customWidth="1"/>
    <col min="10" max="10" width="14" style="265" hidden="1" customWidth="1"/>
    <col min="11" max="11" width="16.44140625" style="128" customWidth="1"/>
    <col min="12" max="12" width="9.109375" style="128"/>
    <col min="13" max="13" width="38.33203125" style="247" customWidth="1"/>
    <col min="14" max="14" width="23.33203125" style="91" hidden="1" customWidth="1"/>
    <col min="15" max="15" width="12.88671875" style="80" hidden="1" customWidth="1"/>
    <col min="16" max="16" width="18.6640625" style="80" hidden="1" customWidth="1"/>
    <col min="17" max="17" width="1.44140625" style="80" hidden="1" customWidth="1"/>
    <col min="18" max="18" width="3.44140625" style="80" hidden="1" customWidth="1"/>
    <col min="19" max="19" width="19.109375" style="80" hidden="1" customWidth="1"/>
    <col min="20" max="16384" width="9.109375" style="80"/>
  </cols>
  <sheetData>
    <row r="1" spans="1:16" ht="18" customHeight="1">
      <c r="B1" s="246" t="s">
        <v>276</v>
      </c>
      <c r="C1" s="77" t="s">
        <v>177</v>
      </c>
      <c r="D1" s="114" t="s">
        <v>443</v>
      </c>
      <c r="E1" s="76" t="s">
        <v>445</v>
      </c>
      <c r="F1" s="76" t="s">
        <v>446</v>
      </c>
      <c r="G1" s="78"/>
      <c r="H1" s="113" t="s">
        <v>277</v>
      </c>
      <c r="I1" s="256" t="s">
        <v>258</v>
      </c>
      <c r="J1" s="263" t="s">
        <v>260</v>
      </c>
      <c r="K1" s="125" t="s">
        <v>261</v>
      </c>
      <c r="L1" s="125"/>
      <c r="M1" s="248" t="s">
        <v>444</v>
      </c>
      <c r="N1" s="79"/>
      <c r="O1" s="80" t="s">
        <v>316</v>
      </c>
      <c r="P1" s="80" t="s">
        <v>314</v>
      </c>
    </row>
    <row r="2" spans="1:16" ht="24" customHeight="1" thickBot="1">
      <c r="B2" s="249" t="s">
        <v>255</v>
      </c>
      <c r="C2" s="250"/>
      <c r="D2" s="251" t="s">
        <v>256</v>
      </c>
      <c r="E2" s="271">
        <v>40240</v>
      </c>
      <c r="F2" s="271" t="s">
        <v>447</v>
      </c>
      <c r="G2" s="252"/>
      <c r="H2" s="253" t="s">
        <v>257</v>
      </c>
      <c r="I2" s="257" t="s">
        <v>259</v>
      </c>
      <c r="J2" s="264" t="s">
        <v>259</v>
      </c>
      <c r="K2" s="254" t="s">
        <v>262</v>
      </c>
      <c r="L2" s="254" t="s">
        <v>452</v>
      </c>
      <c r="M2" s="255" t="s">
        <v>263</v>
      </c>
      <c r="N2" s="85"/>
      <c r="P2" s="80" t="s">
        <v>315</v>
      </c>
    </row>
    <row r="3" spans="1:16" ht="24" customHeight="1">
      <c r="B3" s="286" t="s">
        <v>586</v>
      </c>
      <c r="C3" s="83"/>
      <c r="D3" s="278"/>
      <c r="E3" s="310"/>
      <c r="F3" s="310"/>
      <c r="H3" s="279"/>
      <c r="I3" s="311"/>
      <c r="J3" s="312"/>
      <c r="K3" s="315">
        <f>22200+2450+166327</f>
        <v>190977</v>
      </c>
      <c r="L3" s="316">
        <f>K3/$K$10</f>
        <v>0.6723197850683309</v>
      </c>
      <c r="M3" s="313"/>
      <c r="N3" s="314"/>
    </row>
    <row r="4" spans="1:16" ht="24" customHeight="1">
      <c r="B4" s="286" t="s">
        <v>588</v>
      </c>
      <c r="C4" s="83"/>
      <c r="D4" s="278"/>
      <c r="E4" s="310"/>
      <c r="F4" s="310"/>
      <c r="H4" s="279"/>
      <c r="I4" s="311"/>
      <c r="J4" s="312"/>
      <c r="K4" s="315">
        <f>7777+13715+7395+8275</f>
        <v>37162</v>
      </c>
      <c r="L4" s="316">
        <f t="shared" ref="L4:L9" si="0">K4/$K$10</f>
        <v>0.13082595209218553</v>
      </c>
      <c r="M4" s="313"/>
      <c r="N4" s="314"/>
    </row>
    <row r="5" spans="1:16" ht="24" customHeight="1">
      <c r="B5" s="286" t="s">
        <v>587</v>
      </c>
      <c r="C5" s="83"/>
      <c r="D5" s="278"/>
      <c r="E5" s="310"/>
      <c r="F5" s="310"/>
      <c r="H5" s="279"/>
      <c r="I5" s="311"/>
      <c r="J5" s="312"/>
      <c r="K5" s="317">
        <v>45917.79</v>
      </c>
      <c r="L5" s="316">
        <f t="shared" si="0"/>
        <v>0.16165003483986426</v>
      </c>
      <c r="M5" s="313"/>
      <c r="N5" s="314"/>
    </row>
    <row r="6" spans="1:16" ht="24" customHeight="1">
      <c r="B6" s="286" t="s">
        <v>589</v>
      </c>
      <c r="C6" s="83"/>
      <c r="D6" s="278"/>
      <c r="E6" s="310"/>
      <c r="F6" s="310"/>
      <c r="H6" s="279"/>
      <c r="I6" s="311"/>
      <c r="J6" s="312"/>
      <c r="K6" s="315">
        <f>SUM(K3:K5)</f>
        <v>274056.78999999998</v>
      </c>
      <c r="L6" s="316">
        <f t="shared" si="0"/>
        <v>0.96479577200038058</v>
      </c>
      <c r="M6" s="313"/>
      <c r="N6" s="314"/>
    </row>
    <row r="7" spans="1:16" s="100" customFormat="1" ht="21" customHeight="1">
      <c r="A7" s="92"/>
      <c r="B7" s="286" t="s">
        <v>590</v>
      </c>
      <c r="C7" s="94"/>
      <c r="D7" s="116"/>
      <c r="E7" s="94"/>
      <c r="F7" s="94"/>
      <c r="G7" s="89"/>
      <c r="H7" s="122"/>
      <c r="I7" s="259"/>
      <c r="J7" s="266"/>
      <c r="K7" s="315">
        <v>100000</v>
      </c>
      <c r="L7" s="316">
        <f t="shared" si="0"/>
        <v>0.35204227999619375</v>
      </c>
      <c r="M7" s="280" t="s">
        <v>448</v>
      </c>
      <c r="N7" s="99"/>
    </row>
    <row r="8" spans="1:16" s="100" customFormat="1" ht="21" customHeight="1">
      <c r="A8" s="92"/>
      <c r="B8" s="286" t="s">
        <v>591</v>
      </c>
      <c r="C8" s="94"/>
      <c r="D8" s="116"/>
      <c r="E8" s="94"/>
      <c r="F8" s="94"/>
      <c r="G8" s="89"/>
      <c r="H8" s="122"/>
      <c r="I8" s="259"/>
      <c r="J8" s="266"/>
      <c r="K8" s="315" t="s">
        <v>178</v>
      </c>
      <c r="L8" s="316" t="s">
        <v>178</v>
      </c>
      <c r="M8" s="280" t="s">
        <v>593</v>
      </c>
      <c r="N8" s="99"/>
    </row>
    <row r="9" spans="1:16" ht="20.25" customHeight="1">
      <c r="A9" s="92"/>
      <c r="B9" s="286" t="s">
        <v>174</v>
      </c>
      <c r="C9" s="86"/>
      <c r="D9" s="115"/>
      <c r="E9" s="88"/>
      <c r="F9" s="88"/>
      <c r="G9" s="89"/>
      <c r="K9" s="319">
        <v>-90000</v>
      </c>
      <c r="L9" s="318">
        <f t="shared" si="0"/>
        <v>-0.31683805199657439</v>
      </c>
      <c r="M9" s="280" t="s">
        <v>592</v>
      </c>
    </row>
    <row r="10" spans="1:16" ht="20.100000000000001" customHeight="1">
      <c r="A10" s="92"/>
      <c r="B10" s="285" t="s">
        <v>489</v>
      </c>
      <c r="C10" s="86"/>
      <c r="D10" s="117"/>
      <c r="E10" s="88"/>
      <c r="F10" s="88"/>
      <c r="G10" s="89"/>
      <c r="H10" s="123"/>
      <c r="I10" s="260"/>
      <c r="J10" s="267"/>
      <c r="K10" s="272">
        <f>SUM(K6:K9)</f>
        <v>284056.78999999998</v>
      </c>
      <c r="L10" s="272"/>
      <c r="M10" s="280" t="s">
        <v>448</v>
      </c>
    </row>
    <row r="11" spans="1:16" ht="20.25" customHeight="1">
      <c r="A11" s="92"/>
      <c r="B11" s="285"/>
      <c r="C11" s="86"/>
      <c r="D11" s="117"/>
      <c r="E11" s="88"/>
      <c r="F11" s="88"/>
      <c r="G11" s="89"/>
      <c r="H11" s="123"/>
      <c r="I11" s="260"/>
      <c r="J11" s="267"/>
      <c r="K11" s="272"/>
      <c r="L11" s="272"/>
      <c r="M11" s="280"/>
    </row>
    <row r="12" spans="1:16" ht="21" customHeight="1">
      <c r="A12" s="92"/>
      <c r="B12" s="285" t="s">
        <v>598</v>
      </c>
      <c r="C12" s="86"/>
      <c r="D12" s="117"/>
      <c r="E12" s="88"/>
      <c r="F12" s="88"/>
      <c r="G12" s="89"/>
      <c r="H12" s="123"/>
      <c r="I12" s="260"/>
      <c r="J12" s="267"/>
      <c r="K12" s="126"/>
      <c r="L12" s="126"/>
      <c r="M12" s="281"/>
    </row>
    <row r="13" spans="1:16" ht="20.100000000000001" customHeight="1">
      <c r="A13" s="92">
        <v>39</v>
      </c>
      <c r="B13" s="286" t="s">
        <v>449</v>
      </c>
      <c r="C13" s="86"/>
      <c r="D13" s="115"/>
      <c r="E13" s="88"/>
      <c r="F13" s="88"/>
      <c r="G13" s="89"/>
      <c r="K13" s="126" t="e">
        <f>'FY11-12V1Final'!G43+'FY11-12V1Final'!#REF!+'FY11-12V1Final'!G49+'FY11-12V1Final'!G50+'FY11-12V1Final'!G51+'FY11-12V1Final'!G52+'FY11-12V1Final'!G53+'FY11-12V1Final'!#REF!+'FY11-12V1Final'!#REF!+'FY11-12V1Final'!G64+'FY11-12V1Final'!G67</f>
        <v>#REF!</v>
      </c>
      <c r="L13" s="307" t="e">
        <f>K13/$K$25</f>
        <v>#REF!</v>
      </c>
      <c r="M13" s="281"/>
    </row>
    <row r="14" spans="1:16" ht="20.100000000000001" customHeight="1">
      <c r="A14" s="92"/>
      <c r="B14" s="286" t="s">
        <v>450</v>
      </c>
      <c r="C14" s="86"/>
      <c r="D14" s="115"/>
      <c r="E14" s="88"/>
      <c r="F14" s="88"/>
      <c r="G14" s="89"/>
      <c r="K14" s="126" t="e">
        <f>'FY11-12V1Final'!#REF!+'FY11-12V1Final'!G69+'FY11-12V1Final'!G70+'FY11-12V1Final'!G71+'FY11-12V1Final'!G72</f>
        <v>#REF!</v>
      </c>
      <c r="L14" s="307" t="e">
        <f t="shared" ref="L14:L23" si="1">K14/$K$25</f>
        <v>#REF!</v>
      </c>
      <c r="M14" s="282" t="s">
        <v>178</v>
      </c>
    </row>
    <row r="15" spans="1:16" ht="20.100000000000001" customHeight="1">
      <c r="A15" s="92">
        <v>58</v>
      </c>
      <c r="B15" s="286" t="s">
        <v>451</v>
      </c>
      <c r="C15" s="88"/>
      <c r="D15" s="115" t="s">
        <v>178</v>
      </c>
      <c r="E15" s="88"/>
      <c r="F15" s="88" t="s">
        <v>178</v>
      </c>
      <c r="G15" s="89"/>
      <c r="H15" s="123" t="str">
        <f>D15</f>
        <v xml:space="preserve"> </v>
      </c>
      <c r="I15" s="260" t="str">
        <f>H15:H15</f>
        <v xml:space="preserve"> </v>
      </c>
      <c r="J15" s="267"/>
      <c r="K15" s="126" t="e">
        <f>'FY11-12V1Final'!#REF!+'FY11-12V1Final'!G76+'FY11-12V1Final'!#REF!+'FY11-12V1Final'!G80</f>
        <v>#REF!</v>
      </c>
      <c r="L15" s="307" t="e">
        <f t="shared" si="1"/>
        <v>#REF!</v>
      </c>
      <c r="M15" s="281"/>
    </row>
    <row r="16" spans="1:16" ht="20.100000000000001" customHeight="1">
      <c r="A16" s="92"/>
      <c r="B16" s="286" t="s">
        <v>577</v>
      </c>
      <c r="C16" s="88"/>
      <c r="D16" s="115">
        <f>187452+39215</f>
        <v>226667</v>
      </c>
      <c r="E16" s="88">
        <f>D16</f>
        <v>226667</v>
      </c>
      <c r="F16" s="88">
        <f>E16-D16</f>
        <v>0</v>
      </c>
      <c r="G16" s="89"/>
      <c r="H16" s="123">
        <f>188784+39494</f>
        <v>228278</v>
      </c>
      <c r="I16" s="260">
        <f>H16</f>
        <v>228278</v>
      </c>
      <c r="J16" s="267"/>
      <c r="K16" s="126">
        <f>'FY11-12V1Final'!G78</f>
        <v>241337</v>
      </c>
      <c r="L16" s="307" t="e">
        <f t="shared" si="1"/>
        <v>#REF!</v>
      </c>
      <c r="M16" s="282" t="s">
        <v>578</v>
      </c>
      <c r="O16" s="101" t="e">
        <f>#REF!+#REF!</f>
        <v>#REF!</v>
      </c>
    </row>
    <row r="17" spans="1:15" ht="20.100000000000001" customHeight="1">
      <c r="A17" s="92">
        <v>66</v>
      </c>
      <c r="B17" s="286" t="s">
        <v>454</v>
      </c>
      <c r="C17" s="88"/>
      <c r="D17" s="115"/>
      <c r="E17" s="88"/>
      <c r="F17" s="88">
        <f>E17-D17</f>
        <v>0</v>
      </c>
      <c r="G17" s="89"/>
      <c r="H17" s="123"/>
      <c r="I17" s="260"/>
      <c r="J17" s="267"/>
      <c r="K17" s="126">
        <f>'FY11-12V1Final'!G89</f>
        <v>10000</v>
      </c>
      <c r="L17" s="307" t="e">
        <f t="shared" si="1"/>
        <v>#REF!</v>
      </c>
      <c r="M17" s="281"/>
    </row>
    <row r="18" spans="1:15" ht="20.100000000000001" customHeight="1">
      <c r="A18" s="92">
        <v>74</v>
      </c>
      <c r="B18" s="286" t="s">
        <v>453</v>
      </c>
      <c r="C18" s="103"/>
      <c r="D18" s="115"/>
      <c r="E18" s="88" t="s">
        <v>178</v>
      </c>
      <c r="F18" s="88" t="s">
        <v>178</v>
      </c>
      <c r="G18" s="89"/>
      <c r="H18" s="123"/>
      <c r="I18" s="260"/>
      <c r="J18" s="267"/>
      <c r="K18" s="126">
        <f>'FY11-12V1Final'!G94</f>
        <v>31800</v>
      </c>
      <c r="L18" s="307" t="e">
        <f t="shared" si="1"/>
        <v>#REF!</v>
      </c>
      <c r="M18" s="281"/>
    </row>
    <row r="19" spans="1:15" ht="18.75" customHeight="1">
      <c r="A19" s="92">
        <v>80</v>
      </c>
      <c r="B19" s="286" t="s">
        <v>455</v>
      </c>
      <c r="C19" s="88"/>
      <c r="D19" s="115" t="s">
        <v>178</v>
      </c>
      <c r="E19" s="88" t="str">
        <f>D19</f>
        <v xml:space="preserve"> </v>
      </c>
      <c r="F19" s="88" t="s">
        <v>178</v>
      </c>
      <c r="G19" s="89"/>
      <c r="H19" s="123" t="str">
        <f>D19</f>
        <v xml:space="preserve"> </v>
      </c>
      <c r="I19" s="260" t="str">
        <f>H19:H19</f>
        <v xml:space="preserve"> </v>
      </c>
      <c r="J19" s="267"/>
      <c r="K19" s="126">
        <f>'FY11-12V1Final'!G116</f>
        <v>27800</v>
      </c>
      <c r="L19" s="307" t="e">
        <f t="shared" si="1"/>
        <v>#REF!</v>
      </c>
      <c r="M19" s="281"/>
    </row>
    <row r="20" spans="1:15" ht="18.75" customHeight="1">
      <c r="A20" s="92"/>
      <c r="B20" s="286" t="s">
        <v>456</v>
      </c>
      <c r="C20" s="94"/>
      <c r="D20" s="118"/>
      <c r="E20" s="88" t="s">
        <v>178</v>
      </c>
      <c r="F20" s="88" t="s">
        <v>178</v>
      </c>
      <c r="G20" s="89"/>
      <c r="H20" s="124"/>
      <c r="I20" s="260"/>
      <c r="J20" s="268"/>
      <c r="K20" s="126">
        <f>'FY11-12V1Final'!G124</f>
        <v>21400</v>
      </c>
      <c r="L20" s="307" t="e">
        <f t="shared" si="1"/>
        <v>#REF!</v>
      </c>
      <c r="M20" s="283"/>
    </row>
    <row r="21" spans="1:15" ht="20.100000000000001" customHeight="1">
      <c r="A21" s="92"/>
      <c r="B21" s="286" t="s">
        <v>596</v>
      </c>
      <c r="C21" s="88"/>
      <c r="D21" s="115"/>
      <c r="E21" s="88"/>
      <c r="F21" s="88"/>
      <c r="G21" s="89"/>
      <c r="H21" s="123"/>
      <c r="I21" s="260"/>
      <c r="J21" s="267"/>
      <c r="K21" s="126">
        <f>'FY11-12V1Final'!G130</f>
        <v>5000</v>
      </c>
      <c r="L21" s="307" t="e">
        <f t="shared" si="1"/>
        <v>#REF!</v>
      </c>
      <c r="M21" s="281"/>
    </row>
    <row r="22" spans="1:15" ht="20.100000000000001" customHeight="1">
      <c r="A22" s="92"/>
      <c r="B22" s="286" t="s">
        <v>595</v>
      </c>
      <c r="C22" s="88"/>
      <c r="D22" s="115"/>
      <c r="E22" s="88"/>
      <c r="F22" s="88"/>
      <c r="G22" s="89"/>
      <c r="H22" s="123"/>
      <c r="I22" s="260"/>
      <c r="J22" s="267"/>
      <c r="K22" s="126" t="e">
        <f>'FY11-12V1Final'!#REF!</f>
        <v>#REF!</v>
      </c>
      <c r="L22" s="307" t="e">
        <f t="shared" si="1"/>
        <v>#REF!</v>
      </c>
      <c r="M22" s="281"/>
    </row>
    <row r="23" spans="1:15" ht="20.100000000000001" customHeight="1">
      <c r="A23" s="92">
        <v>99</v>
      </c>
      <c r="B23" s="286" t="s">
        <v>597</v>
      </c>
      <c r="C23" s="88"/>
      <c r="D23" s="115" t="s">
        <v>178</v>
      </c>
      <c r="E23" s="88" t="str">
        <f>D23</f>
        <v xml:space="preserve"> </v>
      </c>
      <c r="F23" s="88" t="s">
        <v>178</v>
      </c>
      <c r="G23" s="89"/>
      <c r="H23" s="123" t="str">
        <f>D23</f>
        <v xml:space="preserve"> </v>
      </c>
      <c r="I23" s="260" t="str">
        <f>H23:H23</f>
        <v xml:space="preserve"> </v>
      </c>
      <c r="J23" s="267"/>
      <c r="K23" s="127">
        <f>'FY11-12V1Final'!G129</f>
        <v>8500</v>
      </c>
      <c r="L23" s="307" t="e">
        <f t="shared" si="1"/>
        <v>#REF!</v>
      </c>
      <c r="M23" s="281"/>
    </row>
    <row r="24" spans="1:15" s="100" customFormat="1" ht="16.2">
      <c r="A24" s="98"/>
      <c r="B24" s="285"/>
      <c r="C24" s="94"/>
      <c r="D24" s="119"/>
      <c r="E24" s="94"/>
      <c r="F24" s="94"/>
      <c r="G24" s="95"/>
      <c r="H24" s="105"/>
      <c r="I24" s="261"/>
      <c r="J24" s="269"/>
      <c r="K24" s="106"/>
      <c r="L24" s="106"/>
      <c r="M24" s="284"/>
      <c r="N24" s="107"/>
      <c r="O24" s="104"/>
    </row>
    <row r="25" spans="1:15" s="100" customFormat="1" ht="30.75" customHeight="1">
      <c r="A25" s="98"/>
      <c r="B25" s="285" t="s">
        <v>127</v>
      </c>
      <c r="C25" s="94"/>
      <c r="D25" s="119"/>
      <c r="E25" s="94"/>
      <c r="F25" s="94"/>
      <c r="G25" s="95"/>
      <c r="H25" s="105"/>
      <c r="I25" s="262">
        <f>K10</f>
        <v>284056.78999999998</v>
      </c>
      <c r="J25" s="270" t="s">
        <v>178</v>
      </c>
      <c r="K25" s="295" t="e">
        <f>SUM(K13:K24)</f>
        <v>#REF!</v>
      </c>
      <c r="L25" s="142"/>
      <c r="M25" s="284"/>
      <c r="N25" s="107"/>
      <c r="O25" s="104"/>
    </row>
    <row r="26" spans="1:15" ht="25.5" customHeight="1">
      <c r="B26" s="285" t="s">
        <v>599</v>
      </c>
      <c r="C26" s="110"/>
      <c r="D26" s="273"/>
      <c r="E26" s="109"/>
      <c r="F26" s="109"/>
      <c r="G26" s="110"/>
      <c r="H26" s="274"/>
      <c r="I26" s="275"/>
      <c r="J26" s="276"/>
      <c r="K26" s="277" t="e">
        <f>K25-K10</f>
        <v>#REF!</v>
      </c>
      <c r="L26" s="90"/>
      <c r="M26" s="281"/>
    </row>
    <row r="27" spans="1:15" ht="24.75" customHeight="1">
      <c r="B27" s="297" t="s">
        <v>602</v>
      </c>
      <c r="C27" s="287"/>
      <c r="D27" s="288"/>
      <c r="E27" s="289"/>
      <c r="F27" s="289"/>
      <c r="G27" s="290"/>
      <c r="H27" s="291"/>
      <c r="I27" s="292"/>
      <c r="J27" s="293"/>
      <c r="K27" s="294" t="e">
        <f>K26+100000</f>
        <v>#REF!</v>
      </c>
      <c r="L27" s="90"/>
      <c r="M27" s="281"/>
    </row>
    <row r="28" spans="1:15" ht="24.75" customHeight="1" thickBot="1">
      <c r="B28" s="298"/>
      <c r="C28" s="299"/>
      <c r="D28" s="300"/>
      <c r="E28" s="299"/>
      <c r="F28" s="299"/>
      <c r="G28" s="301"/>
      <c r="H28" s="302"/>
      <c r="I28" s="303"/>
      <c r="J28" s="304"/>
      <c r="K28" s="305"/>
      <c r="L28" s="305"/>
      <c r="M28" s="306"/>
    </row>
    <row r="29" spans="1:15">
      <c r="C29" s="82"/>
      <c r="E29" s="82"/>
      <c r="F29" s="82"/>
      <c r="G29" s="110"/>
      <c r="K29" s="90"/>
      <c r="L29" s="90"/>
    </row>
    <row r="30" spans="1:15">
      <c r="D30" s="115"/>
      <c r="E30" s="102"/>
      <c r="F30" s="102"/>
      <c r="K30" s="90"/>
      <c r="L30" s="90"/>
    </row>
    <row r="31" spans="1:15">
      <c r="A31" s="92"/>
      <c r="B31" s="82"/>
      <c r="C31" s="102"/>
      <c r="D31" s="115"/>
      <c r="E31" s="102"/>
      <c r="F31" s="102"/>
      <c r="G31" s="109"/>
      <c r="K31" s="90"/>
      <c r="L31" s="90"/>
      <c r="M31" s="111"/>
    </row>
    <row r="32" spans="1:15">
      <c r="A32" s="92"/>
      <c r="B32" s="82"/>
      <c r="C32" s="102"/>
      <c r="D32" s="115"/>
      <c r="E32" s="102"/>
      <c r="F32" s="102"/>
      <c r="G32" s="109"/>
      <c r="K32" s="90"/>
      <c r="L32" s="90"/>
      <c r="M32" s="111"/>
    </row>
    <row r="33" spans="1:12">
      <c r="A33" s="92"/>
      <c r="B33" s="108"/>
      <c r="C33" s="102"/>
      <c r="D33" s="115"/>
      <c r="E33" s="102"/>
      <c r="F33" s="102"/>
      <c r="G33" s="109"/>
      <c r="K33" s="90"/>
      <c r="L33" s="90"/>
    </row>
    <row r="34" spans="1:12">
      <c r="A34" s="92"/>
      <c r="B34" s="108"/>
      <c r="C34" s="102"/>
      <c r="D34" s="115"/>
      <c r="E34" s="102"/>
      <c r="F34" s="102"/>
      <c r="G34" s="109"/>
      <c r="K34" s="90"/>
      <c r="L34" s="90"/>
    </row>
    <row r="35" spans="1:12">
      <c r="A35" s="92"/>
      <c r="B35" s="108"/>
      <c r="C35" s="87"/>
      <c r="D35" s="115"/>
      <c r="E35" s="102"/>
      <c r="F35" s="102"/>
      <c r="G35" s="109"/>
      <c r="K35" s="90"/>
      <c r="L35" s="90"/>
    </row>
    <row r="36" spans="1:12">
      <c r="A36" s="92"/>
      <c r="B36" s="108"/>
      <c r="C36" s="102"/>
      <c r="D36" s="115"/>
      <c r="E36" s="102"/>
      <c r="F36" s="102"/>
      <c r="G36" s="109"/>
      <c r="K36" s="90"/>
      <c r="L36" s="90"/>
    </row>
    <row r="37" spans="1:12">
      <c r="A37" s="92"/>
      <c r="B37" s="97"/>
      <c r="C37" s="88"/>
      <c r="D37" s="115"/>
      <c r="E37" s="88"/>
      <c r="F37" s="88"/>
      <c r="G37" s="89"/>
      <c r="K37" s="90"/>
      <c r="L37" s="90"/>
    </row>
    <row r="38" spans="1:12">
      <c r="A38" s="92"/>
      <c r="C38" s="88"/>
      <c r="D38" s="115"/>
      <c r="E38" s="88"/>
      <c r="F38" s="88"/>
      <c r="G38" s="89"/>
      <c r="K38" s="90"/>
      <c r="L38" s="90"/>
    </row>
    <row r="39" spans="1:12">
      <c r="C39" s="88"/>
      <c r="D39" s="115"/>
      <c r="E39" s="88"/>
      <c r="F39" s="88"/>
      <c r="G39" s="89"/>
      <c r="K39" s="90"/>
      <c r="L39" s="90"/>
    </row>
    <row r="40" spans="1:12">
      <c r="K40" s="90"/>
      <c r="L40" s="90"/>
    </row>
    <row r="41" spans="1:12">
      <c r="C41" s="83"/>
      <c r="K41" s="90"/>
      <c r="L41" s="90"/>
    </row>
    <row r="42" spans="1:12">
      <c r="C42" s="88"/>
      <c r="K42" s="90"/>
      <c r="L42" s="90"/>
    </row>
    <row r="43" spans="1:12">
      <c r="C43" s="83"/>
      <c r="K43" s="90"/>
      <c r="L43" s="90"/>
    </row>
    <row r="44" spans="1:12">
      <c r="C44" s="88"/>
      <c r="K44" s="90"/>
      <c r="L44" s="90"/>
    </row>
    <row r="45" spans="1:12">
      <c r="K45" s="90"/>
      <c r="L45" s="90"/>
    </row>
    <row r="46" spans="1:12">
      <c r="C46" s="112"/>
      <c r="D46" s="115"/>
      <c r="E46" s="88"/>
      <c r="F46" s="88"/>
      <c r="G46" s="94"/>
      <c r="K46" s="90"/>
      <c r="L46" s="90"/>
    </row>
    <row r="47" spans="1:12">
      <c r="C47" s="88"/>
      <c r="D47" s="115"/>
      <c r="E47" s="88"/>
      <c r="F47" s="88"/>
      <c r="G47" s="89"/>
      <c r="K47" s="90"/>
      <c r="L47" s="90"/>
    </row>
    <row r="48" spans="1:12">
      <c r="C48" s="88"/>
      <c r="D48" s="115"/>
      <c r="E48" s="88"/>
      <c r="F48" s="88"/>
      <c r="G48" s="89"/>
      <c r="K48" s="90"/>
      <c r="L48" s="90"/>
    </row>
    <row r="49" spans="11:12">
      <c r="K49" s="90"/>
      <c r="L49" s="90"/>
    </row>
    <row r="50" spans="11:12">
      <c r="K50" s="90"/>
      <c r="L50" s="90"/>
    </row>
    <row r="51" spans="11:12">
      <c r="K51" s="90"/>
      <c r="L51" s="90"/>
    </row>
    <row r="52" spans="11:12">
      <c r="K52" s="90"/>
      <c r="L52" s="90"/>
    </row>
    <row r="53" spans="11:12">
      <c r="K53" s="90"/>
      <c r="L53" s="90"/>
    </row>
    <row r="54" spans="11:12">
      <c r="K54" s="90"/>
      <c r="L54" s="90"/>
    </row>
    <row r="55" spans="11:12">
      <c r="K55" s="90"/>
      <c r="L55" s="90"/>
    </row>
    <row r="56" spans="11:12">
      <c r="K56" s="90"/>
      <c r="L56" s="90"/>
    </row>
    <row r="57" spans="11:12">
      <c r="K57" s="90"/>
      <c r="L57" s="90"/>
    </row>
    <row r="58" spans="11:12">
      <c r="K58" s="90"/>
      <c r="L58" s="90"/>
    </row>
    <row r="59" spans="11:12">
      <c r="K59" s="90"/>
      <c r="L59" s="90"/>
    </row>
    <row r="60" spans="11:12">
      <c r="K60" s="90"/>
      <c r="L60" s="90"/>
    </row>
    <row r="61" spans="11:12">
      <c r="K61" s="90"/>
      <c r="L61" s="90"/>
    </row>
    <row r="62" spans="11:12">
      <c r="K62" s="90"/>
      <c r="L62" s="90"/>
    </row>
    <row r="63" spans="11:12">
      <c r="K63" s="90"/>
      <c r="L63" s="90"/>
    </row>
    <row r="64" spans="11:12">
      <c r="K64" s="90"/>
      <c r="L64" s="90"/>
    </row>
    <row r="65" spans="11:12">
      <c r="K65" s="90"/>
      <c r="L65" s="90"/>
    </row>
    <row r="66" spans="11:12">
      <c r="K66" s="90"/>
      <c r="L66" s="90"/>
    </row>
    <row r="67" spans="11:12">
      <c r="K67" s="90"/>
      <c r="L67" s="90"/>
    </row>
    <row r="68" spans="11:12">
      <c r="K68" s="90"/>
      <c r="L68" s="90"/>
    </row>
    <row r="69" spans="11:12">
      <c r="K69" s="90"/>
      <c r="L69" s="90"/>
    </row>
    <row r="70" spans="11:12">
      <c r="K70" s="90"/>
      <c r="L70" s="90"/>
    </row>
    <row r="71" spans="11:12">
      <c r="K71" s="90"/>
      <c r="L71" s="90"/>
    </row>
    <row r="72" spans="11:12">
      <c r="K72" s="90"/>
      <c r="L72" s="90"/>
    </row>
    <row r="73" spans="11:12">
      <c r="K73" s="90"/>
      <c r="L73" s="90"/>
    </row>
    <row r="74" spans="11:12">
      <c r="K74" s="90"/>
      <c r="L74" s="90"/>
    </row>
    <row r="75" spans="11:12">
      <c r="K75" s="90"/>
      <c r="L75" s="90"/>
    </row>
    <row r="76" spans="11:12">
      <c r="K76" s="90"/>
      <c r="L76" s="90"/>
    </row>
    <row r="77" spans="11:12">
      <c r="K77" s="90"/>
      <c r="L77" s="90"/>
    </row>
    <row r="78" spans="11:12">
      <c r="K78" s="90"/>
      <c r="L78" s="90"/>
    </row>
    <row r="79" spans="11:12">
      <c r="K79" s="90"/>
      <c r="L79" s="90"/>
    </row>
    <row r="80" spans="11:12">
      <c r="K80" s="90"/>
      <c r="L80" s="90"/>
    </row>
    <row r="81" spans="11:12">
      <c r="K81" s="90"/>
      <c r="L81" s="90"/>
    </row>
    <row r="82" spans="11:12">
      <c r="K82" s="90"/>
      <c r="L82" s="90"/>
    </row>
    <row r="83" spans="11:12">
      <c r="K83" s="90"/>
      <c r="L83" s="90"/>
    </row>
    <row r="84" spans="11:12">
      <c r="K84" s="90"/>
      <c r="L84" s="90"/>
    </row>
    <row r="85" spans="11:12">
      <c r="K85" s="90"/>
      <c r="L85" s="90"/>
    </row>
    <row r="86" spans="11:12">
      <c r="K86" s="90"/>
      <c r="L86" s="90"/>
    </row>
    <row r="87" spans="11:12">
      <c r="K87" s="90"/>
      <c r="L87" s="90"/>
    </row>
    <row r="88" spans="11:12">
      <c r="K88" s="90"/>
      <c r="L88" s="90"/>
    </row>
    <row r="89" spans="11:12">
      <c r="K89" s="90"/>
      <c r="L89" s="90"/>
    </row>
    <row r="90" spans="11:12">
      <c r="K90" s="90"/>
      <c r="L90" s="90"/>
    </row>
    <row r="91" spans="11:12">
      <c r="K91" s="90"/>
      <c r="L91" s="90"/>
    </row>
    <row r="92" spans="11:12">
      <c r="K92" s="90"/>
      <c r="L92" s="90"/>
    </row>
    <row r="93" spans="11:12">
      <c r="K93" s="90"/>
      <c r="L93" s="90"/>
    </row>
    <row r="94" spans="11:12">
      <c r="K94" s="90"/>
      <c r="L94" s="90"/>
    </row>
    <row r="95" spans="11:12">
      <c r="K95" s="90"/>
      <c r="L95" s="90"/>
    </row>
    <row r="96" spans="11:12">
      <c r="K96" s="90"/>
      <c r="L96" s="90"/>
    </row>
    <row r="97" spans="11:12">
      <c r="K97" s="90"/>
      <c r="L97" s="90"/>
    </row>
    <row r="98" spans="11:12">
      <c r="K98" s="90"/>
      <c r="L98" s="90"/>
    </row>
    <row r="99" spans="11:12">
      <c r="K99" s="90"/>
      <c r="L99" s="90"/>
    </row>
    <row r="100" spans="11:12">
      <c r="K100" s="90"/>
      <c r="L100" s="90"/>
    </row>
    <row r="101" spans="11:12">
      <c r="K101" s="90"/>
      <c r="L101" s="90"/>
    </row>
    <row r="102" spans="11:12">
      <c r="K102" s="90"/>
      <c r="L102" s="90"/>
    </row>
    <row r="103" spans="11:12">
      <c r="K103" s="90"/>
      <c r="L103" s="90"/>
    </row>
    <row r="104" spans="11:12">
      <c r="K104" s="90"/>
      <c r="L104" s="90"/>
    </row>
    <row r="105" spans="11:12">
      <c r="K105" s="90"/>
      <c r="L105" s="90"/>
    </row>
    <row r="106" spans="11:12">
      <c r="K106" s="90"/>
      <c r="L106" s="90"/>
    </row>
    <row r="107" spans="11:12">
      <c r="K107" s="90"/>
      <c r="L107" s="90"/>
    </row>
    <row r="108" spans="11:12">
      <c r="K108" s="90"/>
      <c r="L108" s="90"/>
    </row>
    <row r="109" spans="11:12">
      <c r="K109" s="90"/>
      <c r="L109" s="90"/>
    </row>
    <row r="110" spans="11:12">
      <c r="K110" s="90"/>
      <c r="L110" s="90"/>
    </row>
    <row r="111" spans="11:12">
      <c r="K111" s="90"/>
      <c r="L111" s="90"/>
    </row>
    <row r="112" spans="11:12">
      <c r="K112" s="90"/>
      <c r="L112" s="90"/>
    </row>
    <row r="113" spans="11:12">
      <c r="K113" s="90"/>
      <c r="L113" s="90"/>
    </row>
    <row r="114" spans="11:12">
      <c r="K114" s="90"/>
      <c r="L114" s="90"/>
    </row>
    <row r="115" spans="11:12">
      <c r="K115" s="90"/>
      <c r="L115" s="90"/>
    </row>
    <row r="116" spans="11:12">
      <c r="K116" s="90"/>
      <c r="L116" s="90"/>
    </row>
    <row r="117" spans="11:12">
      <c r="K117" s="90"/>
      <c r="L117" s="90"/>
    </row>
    <row r="118" spans="11:12">
      <c r="K118" s="90"/>
      <c r="L118" s="90"/>
    </row>
    <row r="119" spans="11:12">
      <c r="K119" s="90"/>
      <c r="L119" s="90"/>
    </row>
    <row r="120" spans="11:12">
      <c r="K120" s="90"/>
      <c r="L120" s="90"/>
    </row>
    <row r="121" spans="11:12">
      <c r="K121" s="90"/>
      <c r="L121" s="90"/>
    </row>
    <row r="122" spans="11:12">
      <c r="K122" s="90"/>
      <c r="L122" s="90"/>
    </row>
    <row r="123" spans="11:12">
      <c r="K123" s="90"/>
      <c r="L123" s="90"/>
    </row>
    <row r="124" spans="11:12">
      <c r="K124" s="90"/>
      <c r="L124" s="90"/>
    </row>
    <row r="125" spans="11:12">
      <c r="K125" s="90"/>
      <c r="L125" s="90"/>
    </row>
  </sheetData>
  <phoneticPr fontId="97" type="noConversion"/>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4" sqref="F4"/>
    </sheetView>
    <sheetView workbookViewId="1"/>
  </sheetViews>
  <sheetFormatPr defaultColWidth="8.88671875" defaultRowHeight="14.4"/>
  <cols>
    <col min="1" max="1" width="40.44140625" bestFit="1" customWidth="1"/>
    <col min="2" max="3" width="9.44140625" bestFit="1" customWidth="1"/>
    <col min="4" max="4" width="9.33203125" bestFit="1" customWidth="1"/>
  </cols>
  <sheetData>
    <row r="1" spans="1:4">
      <c r="A1" s="56" t="s">
        <v>197</v>
      </c>
    </row>
    <row r="2" spans="1:4">
      <c r="A2" s="57"/>
    </row>
    <row r="3" spans="1:4">
      <c r="A3" s="56"/>
    </row>
    <row r="4" spans="1:4">
      <c r="A4" s="57"/>
    </row>
    <row r="5" spans="1:4" ht="18">
      <c r="A5" s="58" t="s">
        <v>198</v>
      </c>
      <c r="B5" s="59"/>
      <c r="C5" s="59"/>
      <c r="D5" s="59"/>
    </row>
    <row r="6" spans="1:4" ht="15">
      <c r="A6" s="59"/>
      <c r="B6" s="59"/>
      <c r="C6" s="59"/>
      <c r="D6" s="59"/>
    </row>
    <row r="7" spans="1:4" ht="15">
      <c r="A7" s="59"/>
      <c r="B7" s="60" t="s">
        <v>199</v>
      </c>
      <c r="C7" s="60" t="s">
        <v>200</v>
      </c>
      <c r="D7" s="60" t="s">
        <v>201</v>
      </c>
    </row>
    <row r="8" spans="1:4">
      <c r="A8" s="61" t="s">
        <v>202</v>
      </c>
      <c r="B8" s="62">
        <v>750</v>
      </c>
      <c r="C8" s="62">
        <v>765</v>
      </c>
      <c r="D8" s="62">
        <v>-15</v>
      </c>
    </row>
    <row r="9" spans="1:4" ht="15">
      <c r="A9" s="63" t="s">
        <v>203</v>
      </c>
      <c r="B9" s="64">
        <v>750</v>
      </c>
      <c r="C9" s="59"/>
      <c r="D9" s="64">
        <v>750</v>
      </c>
    </row>
    <row r="10" spans="1:4" ht="15">
      <c r="A10" s="63" t="s">
        <v>204</v>
      </c>
      <c r="B10" s="59"/>
      <c r="C10" s="64">
        <v>765</v>
      </c>
      <c r="D10" s="64">
        <v>-765</v>
      </c>
    </row>
    <row r="11" spans="1:4">
      <c r="A11" s="61" t="s">
        <v>205</v>
      </c>
      <c r="B11" s="62">
        <v>500</v>
      </c>
      <c r="C11" s="62">
        <v>300</v>
      </c>
      <c r="D11" s="62">
        <v>200</v>
      </c>
    </row>
    <row r="12" spans="1:4" ht="15">
      <c r="A12" s="63" t="s">
        <v>206</v>
      </c>
      <c r="B12" s="64">
        <v>100</v>
      </c>
      <c r="C12" s="59"/>
      <c r="D12" s="64">
        <v>100</v>
      </c>
    </row>
    <row r="13" spans="1:4">
      <c r="A13" s="63" t="s">
        <v>207</v>
      </c>
      <c r="B13" s="64">
        <v>400</v>
      </c>
      <c r="C13" s="64">
        <v>0</v>
      </c>
      <c r="D13" s="64">
        <v>400</v>
      </c>
    </row>
    <row r="14" spans="1:4" ht="15">
      <c r="A14" s="63" t="s">
        <v>208</v>
      </c>
      <c r="B14" s="59"/>
      <c r="C14" s="64">
        <v>300</v>
      </c>
      <c r="D14" s="64">
        <v>-300</v>
      </c>
    </row>
    <row r="15" spans="1:4">
      <c r="A15" s="61" t="s">
        <v>209</v>
      </c>
      <c r="B15" s="62">
        <v>6975</v>
      </c>
      <c r="C15" s="62">
        <v>4879</v>
      </c>
      <c r="D15" s="62">
        <v>2096</v>
      </c>
    </row>
    <row r="16" spans="1:4">
      <c r="A16" s="63" t="s">
        <v>210</v>
      </c>
      <c r="B16" s="64">
        <v>5000</v>
      </c>
      <c r="C16" s="64">
        <v>2840</v>
      </c>
      <c r="D16" s="64">
        <v>2160</v>
      </c>
    </row>
    <row r="17" spans="1:4">
      <c r="A17" s="63" t="s">
        <v>211</v>
      </c>
      <c r="B17" s="64">
        <v>300</v>
      </c>
      <c r="C17" s="64">
        <v>464</v>
      </c>
      <c r="D17" s="64">
        <v>-164</v>
      </c>
    </row>
    <row r="18" spans="1:4">
      <c r="A18" s="63" t="s">
        <v>212</v>
      </c>
      <c r="B18" s="64">
        <v>400</v>
      </c>
      <c r="C18" s="64">
        <v>425</v>
      </c>
      <c r="D18" s="64">
        <v>-25</v>
      </c>
    </row>
    <row r="19" spans="1:4">
      <c r="A19" s="63" t="s">
        <v>213</v>
      </c>
      <c r="B19" s="64">
        <v>1275</v>
      </c>
      <c r="C19" s="64">
        <v>1150</v>
      </c>
      <c r="D19" s="64">
        <v>125</v>
      </c>
    </row>
    <row r="20" spans="1:4">
      <c r="A20" s="61" t="s">
        <v>214</v>
      </c>
      <c r="B20" s="62">
        <v>500</v>
      </c>
      <c r="C20" s="62">
        <v>309</v>
      </c>
      <c r="D20" s="62">
        <v>191</v>
      </c>
    </row>
    <row r="21" spans="1:4">
      <c r="A21" s="63" t="s">
        <v>215</v>
      </c>
      <c r="B21" s="64">
        <v>500</v>
      </c>
      <c r="C21" s="64">
        <v>80</v>
      </c>
      <c r="D21" s="64">
        <v>420</v>
      </c>
    </row>
    <row r="22" spans="1:4" ht="15">
      <c r="A22" s="63" t="s">
        <v>216</v>
      </c>
      <c r="B22" s="59"/>
      <c r="C22" s="64">
        <v>229</v>
      </c>
      <c r="D22" s="64">
        <v>-229</v>
      </c>
    </row>
    <row r="23" spans="1:4">
      <c r="A23" s="65" t="s">
        <v>217</v>
      </c>
      <c r="B23" s="62">
        <v>600</v>
      </c>
      <c r="C23" s="62">
        <v>300</v>
      </c>
      <c r="D23" s="62">
        <v>300</v>
      </c>
    </row>
    <row r="24" spans="1:4" ht="15">
      <c r="A24" s="63" t="s">
        <v>218</v>
      </c>
      <c r="B24" s="64">
        <v>200</v>
      </c>
      <c r="C24" s="59"/>
      <c r="D24" s="64">
        <v>200</v>
      </c>
    </row>
    <row r="25" spans="1:4">
      <c r="A25" s="63" t="s">
        <v>219</v>
      </c>
      <c r="B25" s="64">
        <v>200</v>
      </c>
      <c r="C25" s="64">
        <v>300</v>
      </c>
      <c r="D25" s="64">
        <v>-100</v>
      </c>
    </row>
    <row r="26" spans="1:4" ht="15">
      <c r="A26" s="63" t="s">
        <v>220</v>
      </c>
      <c r="B26" s="64">
        <v>200</v>
      </c>
      <c r="C26" s="59"/>
      <c r="D26" s="64">
        <v>200</v>
      </c>
    </row>
    <row r="27" spans="1:4">
      <c r="A27" s="65" t="s">
        <v>221</v>
      </c>
      <c r="B27" s="65"/>
      <c r="C27" s="62">
        <v>3132</v>
      </c>
      <c r="D27" s="62">
        <v>-3132</v>
      </c>
    </row>
    <row r="28" spans="1:4" ht="15">
      <c r="A28" s="59"/>
      <c r="B28" s="59"/>
      <c r="C28" s="59"/>
      <c r="D28" s="59"/>
    </row>
    <row r="29" spans="1:4">
      <c r="A29" s="65" t="s">
        <v>222</v>
      </c>
      <c r="B29" s="62">
        <v>675</v>
      </c>
      <c r="C29" s="62">
        <v>1275</v>
      </c>
      <c r="D29" s="62">
        <v>-600</v>
      </c>
    </row>
    <row r="30" spans="1:4" ht="15">
      <c r="A30" s="59"/>
      <c r="B30" s="59"/>
      <c r="C30" s="59"/>
      <c r="D30" s="59"/>
    </row>
    <row r="31" spans="1:4">
      <c r="A31" s="63" t="s">
        <v>223</v>
      </c>
      <c r="B31" s="64">
        <v>10000</v>
      </c>
      <c r="C31" s="64">
        <v>10960</v>
      </c>
      <c r="D31" s="64">
        <v>-960</v>
      </c>
    </row>
    <row r="32" spans="1:4" ht="15">
      <c r="A32" s="59"/>
      <c r="B32" s="59"/>
      <c r="C32" s="59"/>
      <c r="D32" s="59"/>
    </row>
    <row r="33" spans="1:4" ht="15">
      <c r="A33" s="779" t="s">
        <v>281</v>
      </c>
      <c r="B33" s="779"/>
      <c r="C33" s="59"/>
      <c r="D33" s="59"/>
    </row>
    <row r="34" spans="1:4" ht="15">
      <c r="A34" s="63" t="s">
        <v>282</v>
      </c>
      <c r="B34" s="59"/>
      <c r="C34" s="54"/>
      <c r="D34" s="54"/>
    </row>
  </sheetData>
  <mergeCells count="1">
    <mergeCell ref="A33:B33"/>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 workbookViewId="1"/>
  </sheetViews>
  <sheetFormatPr defaultColWidth="8.88671875" defaultRowHeight="14.4"/>
  <cols>
    <col min="1" max="1" width="54.88671875" customWidth="1"/>
  </cols>
  <sheetData>
    <row r="1" spans="1:1" ht="15">
      <c r="A1" s="66" t="s">
        <v>283</v>
      </c>
    </row>
    <row r="2" spans="1:1" ht="15">
      <c r="A2" s="67" t="s">
        <v>284</v>
      </c>
    </row>
    <row r="3" spans="1:1" ht="15">
      <c r="A3" s="67" t="s">
        <v>245</v>
      </c>
    </row>
    <row r="4" spans="1:1" ht="15">
      <c r="A4" s="68" t="s">
        <v>246</v>
      </c>
    </row>
    <row r="5" spans="1:1" ht="15">
      <c r="A5" s="68" t="s">
        <v>247</v>
      </c>
    </row>
    <row r="6" spans="1:1" ht="15">
      <c r="A6" s="68" t="s">
        <v>248</v>
      </c>
    </row>
    <row r="7" spans="1:1" ht="15">
      <c r="A7" s="67"/>
    </row>
    <row r="8" spans="1:1" ht="15">
      <c r="A8" s="67" t="s">
        <v>249</v>
      </c>
    </row>
    <row r="9" spans="1:1" ht="15">
      <c r="A9" s="68" t="s">
        <v>250</v>
      </c>
    </row>
    <row r="10" spans="1:1" ht="15">
      <c r="A10" s="68" t="s">
        <v>251</v>
      </c>
    </row>
    <row r="11" spans="1:1" ht="15">
      <c r="A11" s="67"/>
    </row>
    <row r="12" spans="1:1" ht="15">
      <c r="A12" s="67" t="s">
        <v>252</v>
      </c>
    </row>
    <row r="13" spans="1:1" ht="15">
      <c r="A13" s="67"/>
    </row>
    <row r="14" spans="1:1" ht="15">
      <c r="A14" s="67" t="s">
        <v>253</v>
      </c>
    </row>
    <row r="15" spans="1:1" ht="15">
      <c r="A15" s="67"/>
    </row>
    <row r="16" spans="1:1" ht="15">
      <c r="A16" s="67" t="s">
        <v>254</v>
      </c>
    </row>
    <row r="17" spans="1:1" ht="15">
      <c r="A17" s="67" t="s">
        <v>264</v>
      </c>
    </row>
    <row r="18" spans="1:1" ht="15">
      <c r="A18" s="67"/>
    </row>
    <row r="19" spans="1:1" ht="15">
      <c r="A19" s="67"/>
    </row>
    <row r="20" spans="1:1" ht="15">
      <c r="A20" s="67"/>
    </row>
    <row r="21" spans="1:1" ht="15">
      <c r="A21" s="68" t="s">
        <v>265</v>
      </c>
    </row>
    <row r="22" spans="1:1" ht="15">
      <c r="A22" s="67" t="s">
        <v>266</v>
      </c>
    </row>
    <row r="23" spans="1:1" ht="15">
      <c r="A23" s="67" t="s">
        <v>267</v>
      </c>
    </row>
    <row r="24" spans="1:1" ht="15">
      <c r="A24" s="67" t="s">
        <v>268</v>
      </c>
    </row>
    <row r="25" spans="1:1" ht="15">
      <c r="A25" s="67"/>
    </row>
    <row r="26" spans="1:1" ht="15">
      <c r="A26" s="67" t="s">
        <v>269</v>
      </c>
    </row>
    <row r="27" spans="1:1" ht="15">
      <c r="A27" s="67"/>
    </row>
    <row r="28" spans="1:1" ht="15">
      <c r="A28" s="67"/>
    </row>
    <row r="29" spans="1:1" ht="15">
      <c r="A29" s="67"/>
    </row>
    <row r="30" spans="1:1" ht="15">
      <c r="A30" s="67" t="s">
        <v>270</v>
      </c>
    </row>
    <row r="31" spans="1:1" ht="15">
      <c r="A31" s="67"/>
    </row>
    <row r="32" spans="1:1" ht="15">
      <c r="A32" s="67" t="s">
        <v>271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B1" workbookViewId="0">
      <selection activeCell="T5" sqref="T5"/>
    </sheetView>
    <sheetView topLeftCell="B1" workbookViewId="1"/>
  </sheetViews>
  <sheetFormatPr defaultColWidth="9.109375" defaultRowHeight="16.2"/>
  <cols>
    <col min="1" max="1" width="6" style="75" hidden="1" customWidth="1"/>
    <col min="2" max="2" width="5.44140625" style="75" customWidth="1"/>
    <col min="3" max="3" width="36.6640625" style="93" customWidth="1"/>
    <col min="4" max="4" width="0.109375" style="81" customWidth="1"/>
    <col min="5" max="5" width="13.109375" style="120" hidden="1" customWidth="1"/>
    <col min="6" max="6" width="15.88671875" style="325" hidden="1" customWidth="1"/>
    <col min="7" max="7" width="14.44140625" style="325" hidden="1" customWidth="1"/>
    <col min="8" max="8" width="12.88671875" style="346" hidden="1" customWidth="1"/>
    <col min="9" max="9" width="13.33203125" style="346" hidden="1" customWidth="1"/>
    <col min="10" max="10" width="16.88671875" style="322" customWidth="1"/>
    <col min="11" max="11" width="29.6640625" style="396" hidden="1" customWidth="1"/>
    <col min="12" max="12" width="15.33203125" style="340" customWidth="1"/>
    <col min="13" max="13" width="15.33203125" style="413" customWidth="1"/>
    <col min="14" max="14" width="17.88671875" style="399" customWidth="1"/>
    <col min="15" max="15" width="14.44140625" style="80" customWidth="1"/>
    <col min="16" max="16384" width="9.109375" style="80"/>
  </cols>
  <sheetData>
    <row r="1" spans="1:15" ht="43.5" customHeight="1">
      <c r="B1" s="780" t="s">
        <v>616</v>
      </c>
      <c r="C1" s="780"/>
      <c r="D1" s="780"/>
      <c r="E1" s="780"/>
      <c r="F1" s="780"/>
      <c r="G1" s="780"/>
      <c r="H1" s="780"/>
      <c r="I1" s="780"/>
      <c r="J1" s="780"/>
      <c r="K1" s="780"/>
      <c r="L1" s="780"/>
      <c r="M1" s="780"/>
      <c r="N1" s="780"/>
    </row>
    <row r="2" spans="1:15" ht="38.25" customHeight="1">
      <c r="C2" s="403" t="s">
        <v>601</v>
      </c>
      <c r="D2" s="83" t="s">
        <v>177</v>
      </c>
      <c r="E2" s="278" t="s">
        <v>600</v>
      </c>
      <c r="F2" s="783" t="s">
        <v>3</v>
      </c>
      <c r="G2" s="784" t="s">
        <v>114</v>
      </c>
      <c r="H2" s="343"/>
      <c r="I2" s="343"/>
      <c r="J2" s="781" t="s">
        <v>615</v>
      </c>
      <c r="K2" s="404" t="s">
        <v>178</v>
      </c>
      <c r="L2" s="80"/>
      <c r="M2" s="80"/>
      <c r="N2" s="80"/>
    </row>
    <row r="3" spans="1:15" ht="18" customHeight="1">
      <c r="C3" s="93" t="s">
        <v>13</v>
      </c>
      <c r="D3" s="83"/>
      <c r="E3" s="278" t="s">
        <v>443</v>
      </c>
      <c r="F3" s="783"/>
      <c r="G3" s="784"/>
      <c r="H3" s="342" t="s">
        <v>178</v>
      </c>
      <c r="I3" s="348" t="s">
        <v>178</v>
      </c>
      <c r="J3" s="781"/>
      <c r="K3" s="405" t="s">
        <v>157</v>
      </c>
      <c r="L3" s="398" t="s">
        <v>614</v>
      </c>
      <c r="M3" s="415" t="s">
        <v>613</v>
      </c>
      <c r="N3" s="412" t="s">
        <v>176</v>
      </c>
    </row>
    <row r="4" spans="1:15" s="100" customFormat="1" ht="21" customHeight="1">
      <c r="A4" s="92">
        <v>37</v>
      </c>
      <c r="B4" s="92"/>
      <c r="C4" s="96" t="s">
        <v>149</v>
      </c>
      <c r="D4" s="94" t="e">
        <f>#REF!+#REF!</f>
        <v>#REF!</v>
      </c>
      <c r="E4" s="116">
        <v>575343</v>
      </c>
      <c r="F4" s="406"/>
      <c r="G4" s="339"/>
      <c r="H4" s="343"/>
      <c r="I4" s="343"/>
      <c r="J4" s="327"/>
      <c r="K4" s="407"/>
      <c r="L4" s="341"/>
      <c r="M4" s="413"/>
      <c r="N4" s="400"/>
    </row>
    <row r="5" spans="1:15" s="100" customFormat="1" ht="21" customHeight="1">
      <c r="A5" s="92"/>
      <c r="B5" s="92">
        <v>1</v>
      </c>
      <c r="C5" s="93" t="s">
        <v>575</v>
      </c>
      <c r="D5" s="94"/>
      <c r="E5" s="116"/>
      <c r="F5" s="392">
        <f>220102+22220</f>
        <v>242322</v>
      </c>
      <c r="G5" s="323"/>
      <c r="H5" s="343"/>
      <c r="I5" s="343"/>
      <c r="J5" s="327">
        <v>209747</v>
      </c>
      <c r="K5" s="408" t="s">
        <v>11</v>
      </c>
      <c r="L5" s="401">
        <f>J5</f>
        <v>209747</v>
      </c>
      <c r="M5" s="414">
        <f>L5-J5</f>
        <v>0</v>
      </c>
      <c r="N5" s="400"/>
    </row>
    <row r="6" spans="1:15" s="100" customFormat="1" ht="21" customHeight="1">
      <c r="A6" s="92"/>
      <c r="B6" s="92"/>
      <c r="C6" s="97" t="s">
        <v>80</v>
      </c>
      <c r="D6" s="320"/>
      <c r="E6" s="321"/>
      <c r="F6" s="393" t="s">
        <v>12</v>
      </c>
      <c r="G6" s="326"/>
      <c r="H6" s="344"/>
      <c r="I6" s="343"/>
      <c r="J6" s="328">
        <v>20000</v>
      </c>
      <c r="K6" s="402" t="s">
        <v>604</v>
      </c>
      <c r="L6" s="100">
        <v>0</v>
      </c>
      <c r="M6" s="414">
        <f t="shared" ref="M6:M23" si="0">L6-J6</f>
        <v>-20000</v>
      </c>
      <c r="N6" s="400" t="s">
        <v>610</v>
      </c>
    </row>
    <row r="7" spans="1:15" s="100" customFormat="1" ht="19.5" customHeight="1">
      <c r="A7" s="92"/>
      <c r="B7" s="92">
        <v>2</v>
      </c>
      <c r="C7" s="782" t="s">
        <v>83</v>
      </c>
      <c r="D7" s="94"/>
      <c r="E7" s="116"/>
      <c r="F7" s="392">
        <f>(246067+8610)</f>
        <v>254677</v>
      </c>
      <c r="G7" s="323"/>
      <c r="H7" s="343"/>
      <c r="I7" s="343"/>
      <c r="J7" s="327">
        <f>356000-41800-1950 -6150</f>
        <v>306100</v>
      </c>
      <c r="K7" s="409" t="s">
        <v>14</v>
      </c>
      <c r="L7" s="341">
        <f>J7+J8+J10+J11</f>
        <v>356000</v>
      </c>
      <c r="M7" s="414">
        <f t="shared" si="0"/>
        <v>49900</v>
      </c>
      <c r="N7" s="400" t="s">
        <v>611</v>
      </c>
    </row>
    <row r="8" spans="1:15" s="100" customFormat="1" ht="19.5" customHeight="1">
      <c r="A8" s="92"/>
      <c r="B8" s="92"/>
      <c r="C8" s="782"/>
      <c r="D8" s="94"/>
      <c r="E8" s="116"/>
      <c r="F8" s="393" t="s">
        <v>12</v>
      </c>
      <c r="G8" s="326"/>
      <c r="H8" s="343"/>
      <c r="I8" s="343"/>
      <c r="J8" s="327">
        <v>6150</v>
      </c>
      <c r="K8" s="408" t="s">
        <v>97</v>
      </c>
      <c r="L8" s="341">
        <v>525</v>
      </c>
      <c r="M8" s="414">
        <f t="shared" si="0"/>
        <v>-5625</v>
      </c>
      <c r="N8" s="400" t="s">
        <v>608</v>
      </c>
    </row>
    <row r="9" spans="1:15" s="100" customFormat="1" ht="21" customHeight="1">
      <c r="A9" s="92"/>
      <c r="B9" s="92"/>
      <c r="C9" s="93" t="s">
        <v>594</v>
      </c>
      <c r="D9" s="94"/>
      <c r="E9" s="116"/>
      <c r="F9" s="392">
        <v>7777</v>
      </c>
      <c r="G9" s="323"/>
      <c r="H9" s="343"/>
      <c r="I9" s="343"/>
      <c r="J9" s="328">
        <v>8000</v>
      </c>
      <c r="K9" s="410" t="s">
        <v>580</v>
      </c>
      <c r="L9" s="100">
        <v>0</v>
      </c>
      <c r="M9" s="414">
        <f t="shared" si="0"/>
        <v>-8000</v>
      </c>
      <c r="N9" s="400" t="s">
        <v>610</v>
      </c>
    </row>
    <row r="10" spans="1:15" s="100" customFormat="1" ht="21" customHeight="1">
      <c r="A10" s="92"/>
      <c r="B10" s="92"/>
      <c r="C10" s="93" t="s">
        <v>62</v>
      </c>
      <c r="D10" s="94"/>
      <c r="E10" s="116"/>
      <c r="F10" s="393" t="s">
        <v>12</v>
      </c>
      <c r="G10" s="326"/>
      <c r="H10" s="343"/>
      <c r="I10" s="343"/>
      <c r="J10" s="329">
        <v>41800</v>
      </c>
      <c r="K10" s="408" t="s">
        <v>200</v>
      </c>
      <c r="L10" s="341">
        <v>0</v>
      </c>
      <c r="M10" s="414">
        <f t="shared" si="0"/>
        <v>-41800</v>
      </c>
      <c r="N10" s="400"/>
    </row>
    <row r="11" spans="1:15" s="100" customFormat="1" ht="21" customHeight="1">
      <c r="A11" s="92"/>
      <c r="B11" s="92"/>
      <c r="C11" s="93" t="s">
        <v>78</v>
      </c>
      <c r="D11" s="94"/>
      <c r="E11" s="116"/>
      <c r="F11" s="393" t="s">
        <v>12</v>
      </c>
      <c r="G11" s="326"/>
      <c r="H11" s="343"/>
      <c r="I11" s="343"/>
      <c r="J11" s="329">
        <v>1950</v>
      </c>
      <c r="K11" s="408" t="s">
        <v>200</v>
      </c>
      <c r="L11" s="341">
        <v>0</v>
      </c>
      <c r="M11" s="414">
        <f t="shared" si="0"/>
        <v>-1950</v>
      </c>
      <c r="N11" s="400"/>
    </row>
    <row r="12" spans="1:15" s="100" customFormat="1" ht="22.5" customHeight="1">
      <c r="A12" s="92"/>
      <c r="B12" s="92">
        <v>3</v>
      </c>
      <c r="C12" s="349" t="s">
        <v>61</v>
      </c>
      <c r="D12" s="94"/>
      <c r="E12" s="116"/>
      <c r="F12" s="392">
        <v>48050</v>
      </c>
      <c r="G12" s="323"/>
      <c r="H12" s="343"/>
      <c r="I12" s="343"/>
      <c r="J12" s="327">
        <f>F12-7274</f>
        <v>40776</v>
      </c>
      <c r="K12" s="408" t="s">
        <v>8</v>
      </c>
      <c r="L12" s="100">
        <v>40776</v>
      </c>
      <c r="M12" s="414">
        <f t="shared" si="0"/>
        <v>0</v>
      </c>
      <c r="N12" s="400" t="s">
        <v>178</v>
      </c>
    </row>
    <row r="13" spans="1:15" s="100" customFormat="1" ht="21" customHeight="1">
      <c r="A13" s="92"/>
      <c r="B13" s="92">
        <v>4</v>
      </c>
      <c r="C13" s="93" t="s">
        <v>155</v>
      </c>
      <c r="D13" s="94"/>
      <c r="E13" s="116"/>
      <c r="F13" s="392">
        <v>50000</v>
      </c>
      <c r="G13" s="323"/>
      <c r="H13" s="343"/>
      <c r="I13" s="343"/>
      <c r="J13" s="327">
        <f>80557-J18</f>
        <v>63172</v>
      </c>
      <c r="K13" s="410"/>
      <c r="L13" s="341">
        <f t="shared" ref="L13:L18" si="1">J13</f>
        <v>63172</v>
      </c>
      <c r="M13" s="414">
        <f t="shared" si="0"/>
        <v>0</v>
      </c>
      <c r="N13" s="400" t="s">
        <v>607</v>
      </c>
      <c r="O13" s="341">
        <f>J18+J13</f>
        <v>80557</v>
      </c>
    </row>
    <row r="14" spans="1:15" s="100" customFormat="1" ht="21" hidden="1" customHeight="1">
      <c r="A14" s="92"/>
      <c r="B14" s="92" t="s">
        <v>178</v>
      </c>
      <c r="C14" s="93" t="s">
        <v>570</v>
      </c>
      <c r="D14" s="94"/>
      <c r="E14" s="116"/>
      <c r="F14" s="392">
        <v>8446</v>
      </c>
      <c r="G14" s="323"/>
      <c r="H14" s="343"/>
      <c r="I14" s="343"/>
      <c r="J14" s="397">
        <v>0</v>
      </c>
      <c r="K14" s="397"/>
      <c r="L14" s="341">
        <v>0</v>
      </c>
      <c r="M14" s="414">
        <f t="shared" si="0"/>
        <v>0</v>
      </c>
      <c r="N14" s="400"/>
    </row>
    <row r="15" spans="1:15" s="100" customFormat="1" ht="21" customHeight="1">
      <c r="A15" s="92"/>
      <c r="B15" s="92">
        <v>5</v>
      </c>
      <c r="C15" s="93" t="s">
        <v>572</v>
      </c>
      <c r="D15" s="94"/>
      <c r="E15" s="116"/>
      <c r="F15" s="392">
        <v>3000</v>
      </c>
      <c r="G15" s="323"/>
      <c r="H15" s="343"/>
      <c r="I15" s="343"/>
      <c r="J15" s="327">
        <v>1111</v>
      </c>
      <c r="K15" s="410" t="s">
        <v>178</v>
      </c>
      <c r="L15" s="341">
        <f t="shared" si="1"/>
        <v>1111</v>
      </c>
      <c r="M15" s="414">
        <f t="shared" si="0"/>
        <v>0</v>
      </c>
      <c r="N15" s="400"/>
    </row>
    <row r="16" spans="1:15" s="100" customFormat="1" ht="21" customHeight="1">
      <c r="A16" s="92"/>
      <c r="B16" s="92">
        <v>6</v>
      </c>
      <c r="C16" s="93" t="s">
        <v>488</v>
      </c>
      <c r="D16" s="94"/>
      <c r="E16" s="116"/>
      <c r="F16" s="393" t="s">
        <v>77</v>
      </c>
      <c r="G16" s="326"/>
      <c r="H16" s="343"/>
      <c r="I16" s="343"/>
      <c r="J16" s="327">
        <v>1000</v>
      </c>
      <c r="K16" s="410"/>
      <c r="L16" s="341">
        <f t="shared" si="1"/>
        <v>1000</v>
      </c>
      <c r="M16" s="414">
        <f t="shared" si="0"/>
        <v>0</v>
      </c>
      <c r="N16" s="400"/>
    </row>
    <row r="17" spans="1:16" s="100" customFormat="1" ht="21" customHeight="1">
      <c r="A17" s="92"/>
      <c r="B17" s="92">
        <v>7</v>
      </c>
      <c r="C17" s="93" t="s">
        <v>574</v>
      </c>
      <c r="D17" s="94"/>
      <c r="E17" s="116"/>
      <c r="F17" s="393" t="s">
        <v>77</v>
      </c>
      <c r="G17" s="326"/>
      <c r="H17" s="343"/>
      <c r="I17" s="343"/>
      <c r="J17" s="327">
        <v>75000</v>
      </c>
      <c r="K17" s="411"/>
      <c r="L17" s="341">
        <v>100800</v>
      </c>
      <c r="M17" s="414">
        <f t="shared" si="0"/>
        <v>25800</v>
      </c>
      <c r="N17" s="100" t="s">
        <v>612</v>
      </c>
    </row>
    <row r="18" spans="1:16" s="100" customFormat="1" ht="21" customHeight="1">
      <c r="A18" s="92"/>
      <c r="B18" s="92">
        <v>8</v>
      </c>
      <c r="C18" s="93" t="s">
        <v>150</v>
      </c>
      <c r="D18" s="94"/>
      <c r="E18" s="116"/>
      <c r="F18" s="392">
        <v>1000</v>
      </c>
      <c r="G18" s="323"/>
      <c r="H18" s="343"/>
      <c r="I18" s="343"/>
      <c r="J18" s="327">
        <v>17385</v>
      </c>
      <c r="K18" s="411" t="s">
        <v>200</v>
      </c>
      <c r="L18" s="341">
        <f t="shared" si="1"/>
        <v>17385</v>
      </c>
      <c r="M18" s="414">
        <f t="shared" si="0"/>
        <v>0</v>
      </c>
      <c r="N18" s="400" t="s">
        <v>607</v>
      </c>
      <c r="P18" s="100" t="s">
        <v>178</v>
      </c>
    </row>
    <row r="19" spans="1:16" s="100" customFormat="1" ht="21" customHeight="1">
      <c r="A19" s="92"/>
      <c r="B19" s="92"/>
      <c r="C19" s="93" t="s">
        <v>571</v>
      </c>
      <c r="D19" s="94"/>
      <c r="E19" s="116"/>
      <c r="F19" s="392">
        <v>5380</v>
      </c>
      <c r="G19" s="323"/>
      <c r="H19" s="343"/>
      <c r="I19" s="343"/>
      <c r="J19" s="330"/>
      <c r="K19" s="411" t="s">
        <v>152</v>
      </c>
      <c r="L19" s="341">
        <v>5380</v>
      </c>
      <c r="M19" s="414">
        <f t="shared" si="0"/>
        <v>5380</v>
      </c>
      <c r="N19" s="400" t="s">
        <v>609</v>
      </c>
    </row>
    <row r="20" spans="1:16" s="100" customFormat="1" ht="21" customHeight="1">
      <c r="A20" s="92"/>
      <c r="B20" s="92">
        <v>9</v>
      </c>
      <c r="C20" s="93" t="s">
        <v>7</v>
      </c>
      <c r="D20" s="94"/>
      <c r="E20" s="116"/>
      <c r="F20" s="392">
        <v>6320</v>
      </c>
      <c r="G20" s="323"/>
      <c r="H20" s="343"/>
      <c r="I20" s="343"/>
      <c r="J20" s="328">
        <v>13897</v>
      </c>
      <c r="K20" s="410" t="s">
        <v>448</v>
      </c>
      <c r="L20" s="100">
        <v>0</v>
      </c>
      <c r="M20" s="414">
        <f t="shared" si="0"/>
        <v>-13897</v>
      </c>
      <c r="N20" s="400"/>
    </row>
    <row r="21" spans="1:16" s="100" customFormat="1" ht="21" customHeight="1">
      <c r="A21" s="92"/>
      <c r="B21" s="92">
        <v>10</v>
      </c>
      <c r="C21" s="93" t="s">
        <v>6</v>
      </c>
      <c r="D21" s="94"/>
      <c r="E21" s="116"/>
      <c r="F21" s="394">
        <v>0</v>
      </c>
      <c r="G21" s="324"/>
      <c r="H21" s="345"/>
      <c r="I21" s="343"/>
      <c r="J21" s="328">
        <v>25000</v>
      </c>
      <c r="K21" s="410" t="s">
        <v>448</v>
      </c>
      <c r="L21" s="100">
        <v>0</v>
      </c>
      <c r="M21" s="414">
        <f t="shared" si="0"/>
        <v>-25000</v>
      </c>
      <c r="N21" s="400"/>
    </row>
    <row r="22" spans="1:16" s="100" customFormat="1" ht="21" customHeight="1">
      <c r="A22" s="92"/>
      <c r="B22" s="92"/>
      <c r="C22" s="93"/>
      <c r="D22" s="94"/>
      <c r="E22" s="116"/>
      <c r="F22" s="394"/>
      <c r="G22" s="324"/>
      <c r="H22" s="345"/>
      <c r="I22" s="343"/>
      <c r="J22" s="395"/>
      <c r="K22" s="410"/>
      <c r="L22" s="341">
        <v>14349</v>
      </c>
      <c r="M22" s="414">
        <f t="shared" si="0"/>
        <v>14349</v>
      </c>
      <c r="N22" s="400" t="s">
        <v>605</v>
      </c>
      <c r="O22" s="341">
        <f>L22+L19</f>
        <v>19729</v>
      </c>
    </row>
    <row r="23" spans="1:16" s="100" customFormat="1" ht="21" customHeight="1">
      <c r="A23" s="92"/>
      <c r="B23" s="92"/>
      <c r="C23" s="93"/>
      <c r="D23" s="94"/>
      <c r="E23" s="116"/>
      <c r="F23" s="394"/>
      <c r="G23" s="324"/>
      <c r="H23" s="345"/>
      <c r="I23" s="343"/>
      <c r="J23" s="395"/>
      <c r="K23" s="410"/>
      <c r="L23" s="341">
        <f>152522-J12</f>
        <v>111746</v>
      </c>
      <c r="M23" s="414">
        <f t="shared" si="0"/>
        <v>111746</v>
      </c>
      <c r="N23" s="400" t="s">
        <v>606</v>
      </c>
    </row>
    <row r="24" spans="1:16" s="100" customFormat="1" ht="21" customHeight="1">
      <c r="A24" s="92"/>
      <c r="B24" s="416">
        <v>11</v>
      </c>
      <c r="C24" s="417" t="s">
        <v>151</v>
      </c>
      <c r="D24" s="418"/>
      <c r="E24" s="419"/>
      <c r="F24" s="420">
        <f>SUM(F4:F21)</f>
        <v>626972</v>
      </c>
      <c r="G24" s="421">
        <f>F24</f>
        <v>626972</v>
      </c>
      <c r="H24" s="422">
        <f>SUM(H4:H20)</f>
        <v>0</v>
      </c>
      <c r="I24" s="422">
        <f>SUM(I4:I20)</f>
        <v>0</v>
      </c>
      <c r="J24" s="423">
        <f>SUM(J4:J21)</f>
        <v>831088</v>
      </c>
      <c r="K24" s="424" t="s">
        <v>115</v>
      </c>
      <c r="L24" s="425">
        <f>SUM(L5:L23)</f>
        <v>921991</v>
      </c>
      <c r="M24" s="426">
        <f>SUM(M5:M23)</f>
        <v>90903</v>
      </c>
      <c r="N24" s="427">
        <f>L24-M24</f>
        <v>831088</v>
      </c>
      <c r="O24" s="428"/>
    </row>
    <row r="25" spans="1:16">
      <c r="F25" s="332"/>
      <c r="G25" s="332"/>
      <c r="H25" s="347"/>
      <c r="I25" s="347"/>
    </row>
    <row r="26" spans="1:16">
      <c r="F26" s="332"/>
      <c r="G26" s="332"/>
      <c r="H26" s="347"/>
      <c r="I26" s="347"/>
    </row>
    <row r="27" spans="1:16">
      <c r="F27" s="332"/>
      <c r="G27" s="332"/>
      <c r="H27" s="347"/>
      <c r="I27" s="347"/>
    </row>
    <row r="28" spans="1:16">
      <c r="F28" s="332"/>
      <c r="G28" s="332"/>
      <c r="H28" s="347"/>
      <c r="I28" s="347"/>
    </row>
    <row r="29" spans="1:16">
      <c r="F29" s="332"/>
      <c r="G29" s="332"/>
      <c r="H29" s="347"/>
      <c r="I29" s="347"/>
    </row>
  </sheetData>
  <mergeCells count="5">
    <mergeCell ref="B1:N1"/>
    <mergeCell ref="J2:J3"/>
    <mergeCell ref="C7:C8"/>
    <mergeCell ref="F2:F3"/>
    <mergeCell ref="G2:G3"/>
  </mergeCells>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FY11-12V2FinalDraftGenMemSumm</vt:lpstr>
      <vt:lpstr>FY11-12V2FinalDraft</vt:lpstr>
      <vt:lpstr>FY11-12V2Draft1</vt:lpstr>
      <vt:lpstr>FY11-12V1Final</vt:lpstr>
      <vt:lpstr>music</vt:lpstr>
      <vt:lpstr>DRAFT PRESENTATION TO PTA</vt:lpstr>
      <vt:lpstr>Sports Budget</vt:lpstr>
      <vt:lpstr>Programs and Clubs</vt:lpstr>
      <vt:lpstr>Reconciliation with Treasury</vt:lpstr>
      <vt:lpstr>Submit for FOA funding</vt:lpstr>
      <vt:lpstr>Wellness</vt:lpstr>
      <vt:lpstr>elective breakdown FY2010</vt:lpstr>
      <vt:lpstr>Timing</vt:lpstr>
      <vt:lpstr>budget vs. acutal</vt:lpstr>
      <vt:lpstr>Sheet4</vt:lpstr>
      <vt:lpstr>DOE CALENDAR</vt:lpstr>
      <vt:lpstr>Vacation Homes</vt:lpstr>
      <vt:lpstr>Auction 2010</vt:lpstr>
      <vt:lpstr>'FY11-12V1Final'!Print_Area</vt:lpstr>
      <vt:lpstr>'FY11-12V2Draft1'!Print_Area</vt:lpstr>
      <vt:lpstr>'FY11-12V2FinalDraft'!Print_Area</vt:lpstr>
      <vt:lpstr>'FY11-12V2FinalDraftGenMemSumm'!Print_Area</vt:lpstr>
      <vt:lpstr>'FY11-12V2Draft1'!Print_Titles</vt:lpstr>
      <vt:lpstr>'FY11-12V2FinalDraft'!Print_Titles</vt:lpstr>
      <vt:lpstr>'FY11-12V2FinalDraftGenMemSumm'!Print_Titles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Jamie Prince</dc:creator>
  <cp:lastModifiedBy>SAgtsteribbe</cp:lastModifiedBy>
  <cp:lastPrinted>2011-09-14T13:30:52Z</cp:lastPrinted>
  <dcterms:created xsi:type="dcterms:W3CDTF">2009-10-07T11:53:47Z</dcterms:created>
  <dcterms:modified xsi:type="dcterms:W3CDTF">2011-09-15T04:59:34Z</dcterms:modified>
</cp:coreProperties>
</file>